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jewrac\Downloads\"/>
    </mc:Choice>
  </mc:AlternateContent>
  <xr:revisionPtr revIDLastSave="0" documentId="8_{3AAC1445-60C7-4A2D-87D8-AF39D2665E58}" xr6:coauthVersionLast="47" xr6:coauthVersionMax="47" xr10:uidLastSave="{00000000-0000-0000-0000-000000000000}"/>
  <workbookProtection workbookAlgorithmName="SHA-512" workbookHashValue="65RXbS/GDmmYiegxyKi1gGxA92G8JutFMWcgGysfU5MsHCVBqMLo4yR8MMCIciL+jkCZPtqyPMF3pQz3Qdk6mQ==" workbookSaltValue="wlKorjbusQ1Do59MRPLvVA==" workbookSpinCount="100000" lockStructure="1"/>
  <bookViews>
    <workbookView showSheetTabs="0" xWindow="-24045" yWindow="3285" windowWidth="21600" windowHeight="11175" xr2:uid="{00000000-000D-0000-FFFF-FFFF00000000}"/>
  </bookViews>
  <sheets>
    <sheet name="Input" sheetId="1" r:id="rId1"/>
    <sheet name="Control sheet" sheetId="4" state="hidden" r:id="rId2"/>
    <sheet name="Sheet2" sheetId="2" state="hidden" r:id="rId3"/>
    <sheet name="Allowances" sheetId="3" state="hidden" r:id="rId4"/>
  </sheets>
  <definedNames>
    <definedName name="Allowance_used">Allowances!$I$2:$I$12</definedName>
    <definedName name="CGT_Y_N">Allowances!$E$10:$E$11</definedName>
    <definedName name="_xlnm.Print_Area" localSheetId="0">Input!$A$1:$L$49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2" l="1"/>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K15" i="1"/>
  <c r="K14" i="1"/>
  <c r="J16" i="1"/>
  <c r="J15" i="1"/>
  <c r="J14" i="1"/>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F18" i="1" l="1"/>
  <c r="H18" i="1" l="1"/>
  <c r="D9" i="3"/>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D77" i="3" s="1"/>
  <c r="D78" i="3" s="1"/>
  <c r="D79" i="3" s="1"/>
  <c r="D80" i="3" s="1"/>
  <c r="D81" i="3" s="1"/>
  <c r="D82" i="3" s="1"/>
  <c r="D83" i="3" s="1"/>
  <c r="D84" i="3" s="1"/>
  <c r="D85" i="3" s="1"/>
  <c r="D86" i="3" s="1"/>
  <c r="D87" i="3" s="1"/>
  <c r="D88" i="3" s="1"/>
  <c r="D89" i="3" s="1"/>
  <c r="D90" i="3" s="1"/>
  <c r="D91" i="3" s="1"/>
  <c r="D92" i="3" s="1"/>
  <c r="D93" i="3" s="1"/>
  <c r="D94" i="3" s="1"/>
  <c r="D95" i="3" s="1"/>
  <c r="D96" i="3" s="1"/>
  <c r="D97" i="3" s="1"/>
  <c r="D98" i="3" s="1"/>
  <c r="D99" i="3" s="1"/>
  <c r="D100" i="3" s="1"/>
  <c r="C9" i="3"/>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B9" i="3"/>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H9" i="1" l="1"/>
  <c r="Z2" i="2"/>
  <c r="H7" i="1"/>
  <c r="H8" i="1"/>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P2" i="2" l="1"/>
  <c r="Z3" i="2"/>
  <c r="K46" i="2"/>
  <c r="K22" i="2"/>
  <c r="K38" i="2"/>
  <c r="K51" i="2"/>
  <c r="K43" i="2"/>
  <c r="K35" i="2"/>
  <c r="K27" i="2"/>
  <c r="K30" i="2"/>
  <c r="K50" i="2"/>
  <c r="K42" i="2"/>
  <c r="K34" i="2"/>
  <c r="K26" i="2"/>
  <c r="K49" i="2"/>
  <c r="K41" i="2"/>
  <c r="K33" i="2"/>
  <c r="K25" i="2"/>
  <c r="K24" i="2"/>
  <c r="K48" i="2"/>
  <c r="K40" i="2"/>
  <c r="K32" i="2"/>
  <c r="K47" i="2"/>
  <c r="K39" i="2"/>
  <c r="K31" i="2"/>
  <c r="K23" i="2"/>
  <c r="K45" i="2"/>
  <c r="K37" i="2"/>
  <c r="K29" i="2"/>
  <c r="K44" i="2"/>
  <c r="K36" i="2"/>
  <c r="K28" i="2"/>
  <c r="D12" i="1"/>
  <c r="Z4" i="2" l="1"/>
  <c r="P3" i="2"/>
  <c r="D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Z5" i="2" l="1"/>
  <c r="P4"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N38" i="2" l="1"/>
  <c r="H38" i="2" s="1"/>
  <c r="O38" i="2"/>
  <c r="N29" i="2"/>
  <c r="H29" i="2" s="1"/>
  <c r="O29" i="2"/>
  <c r="N44" i="2"/>
  <c r="H44" i="2" s="1"/>
  <c r="O44" i="2"/>
  <c r="N36" i="2"/>
  <c r="H36" i="2" s="1"/>
  <c r="O36" i="2"/>
  <c r="N28" i="2"/>
  <c r="H28" i="2" s="1"/>
  <c r="O28" i="2"/>
  <c r="N51" i="2"/>
  <c r="H51" i="2" s="1"/>
  <c r="O51" i="2"/>
  <c r="N43" i="2"/>
  <c r="H43" i="2" s="1"/>
  <c r="O43" i="2"/>
  <c r="N35" i="2"/>
  <c r="H35" i="2" s="1"/>
  <c r="O35" i="2"/>
  <c r="N27" i="2"/>
  <c r="H27" i="2" s="1"/>
  <c r="O27" i="2"/>
  <c r="N46" i="2"/>
  <c r="H46" i="2" s="1"/>
  <c r="O46" i="2"/>
  <c r="N45" i="2"/>
  <c r="H45" i="2" s="1"/>
  <c r="O45" i="2"/>
  <c r="N50" i="2"/>
  <c r="H50" i="2" s="1"/>
  <c r="O50" i="2"/>
  <c r="N34" i="2"/>
  <c r="H34" i="2" s="1"/>
  <c r="O34" i="2"/>
  <c r="N26" i="2"/>
  <c r="O26" i="2"/>
  <c r="N49" i="2"/>
  <c r="H49" i="2" s="1"/>
  <c r="O49" i="2"/>
  <c r="N41" i="2"/>
  <c r="H41" i="2" s="1"/>
  <c r="O41" i="2"/>
  <c r="N33" i="2"/>
  <c r="H33" i="2" s="1"/>
  <c r="O33" i="2"/>
  <c r="N25" i="2"/>
  <c r="H25" i="2" s="1"/>
  <c r="O25" i="2"/>
  <c r="N30" i="2"/>
  <c r="H30" i="2" s="1"/>
  <c r="O30" i="2"/>
  <c r="N37" i="2"/>
  <c r="H37" i="2" s="1"/>
  <c r="O37" i="2"/>
  <c r="N42" i="2"/>
  <c r="H42" i="2" s="1"/>
  <c r="O42" i="2"/>
  <c r="N48" i="2"/>
  <c r="H48" i="2" s="1"/>
  <c r="O48" i="2"/>
  <c r="N40" i="2"/>
  <c r="H40" i="2" s="1"/>
  <c r="O40" i="2"/>
  <c r="N32" i="2"/>
  <c r="H32" i="2" s="1"/>
  <c r="O32" i="2"/>
  <c r="N24" i="2"/>
  <c r="H24" i="2" s="1"/>
  <c r="O24" i="2"/>
  <c r="N47" i="2"/>
  <c r="H47" i="2" s="1"/>
  <c r="O47" i="2"/>
  <c r="N39" i="2"/>
  <c r="H39" i="2" s="1"/>
  <c r="O39" i="2"/>
  <c r="N31" i="2"/>
  <c r="H31" i="2" s="1"/>
  <c r="O31" i="2"/>
  <c r="N23" i="2"/>
  <c r="H23" i="2" s="1"/>
  <c r="O23" i="2"/>
  <c r="H26" i="2"/>
  <c r="Z6" i="2"/>
  <c r="P5" i="2"/>
  <c r="C2" i="2"/>
  <c r="N2" i="2" l="1"/>
  <c r="O2" i="2"/>
  <c r="Z7" i="2"/>
  <c r="P6" i="2"/>
  <c r="F2" i="2"/>
  <c r="H2" i="2" l="1"/>
  <c r="Z8" i="2"/>
  <c r="P7"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E2" i="2"/>
  <c r="Z9" i="2" l="1"/>
  <c r="P8" i="2"/>
  <c r="G2" i="2"/>
  <c r="Z10" i="2" l="1"/>
  <c r="P9" i="2"/>
  <c r="Y3"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2" i="2"/>
  <c r="R23" i="2"/>
  <c r="G23" i="2" s="1"/>
  <c r="I23" i="2" s="1"/>
  <c r="R24" i="2"/>
  <c r="G24" i="2" s="1"/>
  <c r="I24" i="2" s="1"/>
  <c r="R25" i="2"/>
  <c r="G25" i="2" s="1"/>
  <c r="I25" i="2" s="1"/>
  <c r="R26" i="2"/>
  <c r="G26" i="2" s="1"/>
  <c r="I26" i="2" s="1"/>
  <c r="R27" i="2"/>
  <c r="G27" i="2" s="1"/>
  <c r="I27" i="2" s="1"/>
  <c r="R28" i="2"/>
  <c r="G28" i="2" s="1"/>
  <c r="I28" i="2" s="1"/>
  <c r="R29" i="2"/>
  <c r="G29" i="2" s="1"/>
  <c r="I29" i="2" s="1"/>
  <c r="R30" i="2"/>
  <c r="G30" i="2" s="1"/>
  <c r="I30" i="2" s="1"/>
  <c r="R31" i="2"/>
  <c r="G31" i="2" s="1"/>
  <c r="I31" i="2" s="1"/>
  <c r="R32" i="2"/>
  <c r="G32" i="2" s="1"/>
  <c r="I32" i="2" s="1"/>
  <c r="R33" i="2"/>
  <c r="G33" i="2" s="1"/>
  <c r="I33" i="2" s="1"/>
  <c r="R34" i="2"/>
  <c r="G34" i="2" s="1"/>
  <c r="I34" i="2" s="1"/>
  <c r="R35" i="2"/>
  <c r="G35" i="2" s="1"/>
  <c r="I35" i="2" s="1"/>
  <c r="R36" i="2"/>
  <c r="G36" i="2" s="1"/>
  <c r="I36" i="2" s="1"/>
  <c r="R37" i="2"/>
  <c r="G37" i="2" s="1"/>
  <c r="I37" i="2" s="1"/>
  <c r="R38" i="2"/>
  <c r="G38" i="2" s="1"/>
  <c r="I38" i="2" s="1"/>
  <c r="R39" i="2"/>
  <c r="G39" i="2" s="1"/>
  <c r="I39" i="2" s="1"/>
  <c r="R40" i="2"/>
  <c r="G40" i="2" s="1"/>
  <c r="I40" i="2" s="1"/>
  <c r="R41" i="2"/>
  <c r="G41" i="2" s="1"/>
  <c r="I41" i="2" s="1"/>
  <c r="R42" i="2"/>
  <c r="G42" i="2" s="1"/>
  <c r="I42" i="2" s="1"/>
  <c r="R43" i="2"/>
  <c r="G43" i="2" s="1"/>
  <c r="I43" i="2" s="1"/>
  <c r="R44" i="2"/>
  <c r="G44" i="2" s="1"/>
  <c r="I44" i="2" s="1"/>
  <c r="R45" i="2"/>
  <c r="G45" i="2" s="1"/>
  <c r="I45" i="2" s="1"/>
  <c r="R46" i="2"/>
  <c r="G46" i="2" s="1"/>
  <c r="I46" i="2" s="1"/>
  <c r="R47" i="2"/>
  <c r="G47" i="2" s="1"/>
  <c r="I47" i="2" s="1"/>
  <c r="R48" i="2"/>
  <c r="G48" i="2" s="1"/>
  <c r="I48" i="2" s="1"/>
  <c r="R49" i="2"/>
  <c r="G49" i="2" s="1"/>
  <c r="I49" i="2" s="1"/>
  <c r="R50" i="2"/>
  <c r="G50" i="2" s="1"/>
  <c r="I50" i="2" s="1"/>
  <c r="R51" i="2"/>
  <c r="G51" i="2" s="1"/>
  <c r="I51" i="2" s="1"/>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2" i="2"/>
  <c r="W2" i="2" s="1"/>
  <c r="Z11" i="2" l="1"/>
  <c r="P10" i="2"/>
  <c r="J2" i="2"/>
  <c r="Y52" i="2"/>
  <c r="R2" i="2"/>
  <c r="Z12" i="2" l="1"/>
  <c r="P11" i="2"/>
  <c r="F21" i="1"/>
  <c r="G21" i="1"/>
  <c r="E21" i="1"/>
  <c r="R3" i="2"/>
  <c r="T2" i="2"/>
  <c r="X2" i="2" s="1"/>
  <c r="F24" i="1"/>
  <c r="Z13" i="2" l="1"/>
  <c r="P12" i="2"/>
  <c r="R4" i="2"/>
  <c r="S2" i="2"/>
  <c r="T3" i="2" s="1"/>
  <c r="X3" i="2" s="1"/>
  <c r="V2" i="2"/>
  <c r="T50" i="2"/>
  <c r="X50" i="2" s="1"/>
  <c r="T46" i="2"/>
  <c r="X46" i="2" s="1"/>
  <c r="T42" i="2"/>
  <c r="X42" i="2" s="1"/>
  <c r="T38" i="2"/>
  <c r="X38" i="2" s="1"/>
  <c r="T34" i="2"/>
  <c r="X34" i="2" s="1"/>
  <c r="T30" i="2"/>
  <c r="X30" i="2" s="1"/>
  <c r="T26" i="2"/>
  <c r="X26" i="2" s="1"/>
  <c r="T35" i="2"/>
  <c r="X35" i="2" s="1"/>
  <c r="T43" i="2"/>
  <c r="X43" i="2" s="1"/>
  <c r="T27" i="2"/>
  <c r="X27" i="2" s="1"/>
  <c r="T39" i="2"/>
  <c r="X39" i="2" s="1"/>
  <c r="T23" i="2"/>
  <c r="X23" i="2" s="1"/>
  <c r="T51" i="2"/>
  <c r="X51" i="2" s="1"/>
  <c r="T47" i="2"/>
  <c r="X47" i="2" s="1"/>
  <c r="T31" i="2"/>
  <c r="X31" i="2" s="1"/>
  <c r="T49" i="2"/>
  <c r="X49" i="2" s="1"/>
  <c r="T45" i="2"/>
  <c r="X45" i="2" s="1"/>
  <c r="T41" i="2"/>
  <c r="X41" i="2" s="1"/>
  <c r="T37" i="2"/>
  <c r="X37" i="2" s="1"/>
  <c r="T33" i="2"/>
  <c r="X33" i="2" s="1"/>
  <c r="T29" i="2"/>
  <c r="X29" i="2" s="1"/>
  <c r="T25" i="2"/>
  <c r="X25" i="2" s="1"/>
  <c r="T48" i="2"/>
  <c r="X48" i="2" s="1"/>
  <c r="T44" i="2"/>
  <c r="X44" i="2" s="1"/>
  <c r="T40" i="2"/>
  <c r="X40" i="2" s="1"/>
  <c r="T36" i="2"/>
  <c r="X36" i="2" s="1"/>
  <c r="T32" i="2"/>
  <c r="X32" i="2" s="1"/>
  <c r="T28" i="2"/>
  <c r="X28" i="2" s="1"/>
  <c r="T24" i="2"/>
  <c r="X24" i="2" s="1"/>
  <c r="J18" i="1"/>
  <c r="I2" i="2" s="1"/>
  <c r="Z14" i="2" l="1"/>
  <c r="P13" i="2"/>
  <c r="R5" i="2"/>
  <c r="U3" i="2"/>
  <c r="W3" i="2" s="1"/>
  <c r="V3" i="2"/>
  <c r="Z15" i="2" l="1"/>
  <c r="P14" i="2"/>
  <c r="K2" i="2"/>
  <c r="Q2" i="2"/>
  <c r="R6" i="2"/>
  <c r="S3" i="2"/>
  <c r="Z16" i="2" l="1"/>
  <c r="P15" i="2"/>
  <c r="R7" i="2"/>
  <c r="U4" i="2"/>
  <c r="V4" i="2"/>
  <c r="T4" i="2"/>
  <c r="X4" i="2" s="1"/>
  <c r="Z17" i="2" l="1"/>
  <c r="P16" i="2"/>
  <c r="R8" i="2"/>
  <c r="W4" i="2"/>
  <c r="S4" i="2" s="1"/>
  <c r="Z18" i="2" l="1"/>
  <c r="P17" i="2"/>
  <c r="R9" i="2"/>
  <c r="V5" i="2"/>
  <c r="T5" i="2"/>
  <c r="X5" i="2" s="1"/>
  <c r="U5" i="2"/>
  <c r="Z19" i="2" l="1"/>
  <c r="P18" i="2"/>
  <c r="R10" i="2"/>
  <c r="W5" i="2"/>
  <c r="S5" i="2" s="1"/>
  <c r="Z20" i="2" l="1"/>
  <c r="P19" i="2"/>
  <c r="R11" i="2"/>
  <c r="T6" i="2"/>
  <c r="X6" i="2" s="1"/>
  <c r="V6" i="2"/>
  <c r="Z21" i="2" l="1"/>
  <c r="P20" i="2"/>
  <c r="R12" i="2"/>
  <c r="U6" i="2"/>
  <c r="W6" i="2" s="1"/>
  <c r="Z22" i="2" l="1"/>
  <c r="Z23" i="2" s="1"/>
  <c r="Z24" i="2" s="1"/>
  <c r="Z25" i="2" s="1"/>
  <c r="Z26" i="2" s="1"/>
  <c r="Z27" i="2" s="1"/>
  <c r="Z28" i="2" s="1"/>
  <c r="Z29" i="2" s="1"/>
  <c r="Z30" i="2" s="1"/>
  <c r="Z31" i="2" s="1"/>
  <c r="Z32" i="2" s="1"/>
  <c r="Z33" i="2" s="1"/>
  <c r="Z34" i="2" s="1"/>
  <c r="Z35" i="2" s="1"/>
  <c r="Z36" i="2" s="1"/>
  <c r="Z37" i="2" s="1"/>
  <c r="Z38" i="2" s="1"/>
  <c r="Z39" i="2" s="1"/>
  <c r="Z40" i="2" s="1"/>
  <c r="Z41" i="2" s="1"/>
  <c r="Z42" i="2" s="1"/>
  <c r="Z43" i="2" s="1"/>
  <c r="Z44" i="2" s="1"/>
  <c r="Z45" i="2" s="1"/>
  <c r="Z46" i="2" s="1"/>
  <c r="Z47" i="2" s="1"/>
  <c r="Z48" i="2" s="1"/>
  <c r="Z49" i="2" s="1"/>
  <c r="Z50" i="2" s="1"/>
  <c r="Z51" i="2" s="1"/>
  <c r="P21" i="2"/>
  <c r="P52" i="2" s="1" a="1"/>
  <c r="P52" i="2" s="1"/>
  <c r="R13" i="2"/>
  <c r="S6" i="2"/>
  <c r="T7" i="2" l="1"/>
  <c r="X7" i="2" s="1"/>
  <c r="R14" i="2"/>
  <c r="U7" i="2"/>
  <c r="W7" i="2" s="1"/>
  <c r="V7" i="2"/>
  <c r="R15" i="2" l="1"/>
  <c r="S7" i="2"/>
  <c r="T8" i="2" l="1"/>
  <c r="X8" i="2" s="1"/>
  <c r="R16" i="2"/>
  <c r="U8" i="2"/>
  <c r="W8" i="2" s="1"/>
  <c r="V8" i="2"/>
  <c r="R17" i="2" l="1"/>
  <c r="S8" i="2"/>
  <c r="U9" i="2" s="1"/>
  <c r="R18" i="2" l="1"/>
  <c r="V9" i="2"/>
  <c r="T9" i="2"/>
  <c r="X9" i="2" s="1"/>
  <c r="W9" i="2"/>
  <c r="R19" i="2" l="1"/>
  <c r="S9" i="2"/>
  <c r="T10" i="2" s="1"/>
  <c r="X10" i="2" s="1"/>
  <c r="R20" i="2" l="1"/>
  <c r="U10" i="2"/>
  <c r="W10" i="2" s="1"/>
  <c r="V10" i="2"/>
  <c r="R21" i="2" l="1"/>
  <c r="R22" i="2" s="1"/>
  <c r="S10" i="2"/>
  <c r="T11" i="2" s="1"/>
  <c r="X11" i="2" s="1"/>
  <c r="F25" i="1" l="1"/>
  <c r="R52" i="2"/>
  <c r="U11" i="2"/>
  <c r="W11" i="2" s="1"/>
  <c r="V11" i="2"/>
  <c r="F4" i="3" l="1"/>
  <c r="E4" i="3" s="1"/>
  <c r="E7" i="3" s="1"/>
  <c r="S11" i="2"/>
  <c r="V12" i="2" l="1"/>
  <c r="U12" i="2"/>
  <c r="W12" i="2" s="1"/>
  <c r="T12" i="2"/>
  <c r="X12" i="2" s="1"/>
  <c r="S12" i="2" l="1"/>
  <c r="U13" i="2" s="1"/>
  <c r="V13" i="2" l="1"/>
  <c r="T13" i="2"/>
  <c r="X13" i="2" s="1"/>
  <c r="W13" i="2"/>
  <c r="S13" i="2" l="1"/>
  <c r="U14" i="2" s="1"/>
  <c r="V14" i="2" l="1"/>
  <c r="T14" i="2"/>
  <c r="X14" i="2" s="1"/>
  <c r="W14" i="2"/>
  <c r="S14" i="2" l="1"/>
  <c r="U15" i="2" s="1"/>
  <c r="V15" i="2" l="1"/>
  <c r="T15" i="2"/>
  <c r="X15" i="2" s="1"/>
  <c r="W15" i="2"/>
  <c r="S15" i="2" l="1"/>
  <c r="V16" i="2" s="1"/>
  <c r="U16" i="2" l="1"/>
  <c r="W16" i="2" s="1"/>
  <c r="T16" i="2"/>
  <c r="X16" i="2" s="1"/>
  <c r="S16" i="2" l="1"/>
  <c r="U17" i="2" s="1"/>
  <c r="V17" i="2" l="1"/>
  <c r="T17" i="2"/>
  <c r="X17" i="2" s="1"/>
  <c r="W17" i="2"/>
  <c r="S17" i="2" l="1"/>
  <c r="V18" i="2" s="1"/>
  <c r="T18" i="2" l="1"/>
  <c r="X18" i="2" s="1"/>
  <c r="U18" i="2"/>
  <c r="W18" i="2" s="1"/>
  <c r="S18" i="2" l="1"/>
  <c r="T19" i="2" s="1"/>
  <c r="X19" i="2" s="1"/>
  <c r="V19" i="2" l="1"/>
  <c r="U19" i="2"/>
  <c r="W19" i="2" s="1"/>
  <c r="S19" i="2" l="1"/>
  <c r="U20" i="2" s="1"/>
  <c r="T20" i="2" l="1"/>
  <c r="X20" i="2" s="1"/>
  <c r="V20" i="2"/>
  <c r="W20" i="2"/>
  <c r="S20" i="2" l="1"/>
  <c r="V21" i="2" s="1"/>
  <c r="T21" i="2" l="1"/>
  <c r="X21" i="2" s="1"/>
  <c r="U21" i="2"/>
  <c r="W21" i="2" s="1"/>
  <c r="S21" i="2" l="1"/>
  <c r="U22" i="2"/>
  <c r="W22" i="2" s="1"/>
  <c r="V22" i="2"/>
  <c r="T22" i="2"/>
  <c r="X22" i="2" s="1"/>
  <c r="X52" i="2" s="1"/>
  <c r="S22" i="2" l="1"/>
  <c r="G25" i="1" s="1"/>
  <c r="G26" i="1" s="1"/>
  <c r="W23" i="2"/>
  <c r="W24" i="2" l="1"/>
  <c r="W25" i="2" l="1"/>
  <c r="W26" i="2" l="1"/>
  <c r="W27" i="2" l="1"/>
  <c r="W28" i="2" l="1"/>
  <c r="W29" i="2" l="1"/>
  <c r="W30" i="2" l="1"/>
  <c r="W31" i="2" l="1"/>
  <c r="W32" i="2" l="1"/>
  <c r="W33" i="2" l="1"/>
  <c r="W34" i="2" l="1"/>
  <c r="W35" i="2" l="1"/>
  <c r="M23" i="2"/>
  <c r="W36" i="2" l="1"/>
  <c r="M24" i="2"/>
  <c r="W37" i="2" l="1"/>
  <c r="M25" i="2"/>
  <c r="W38" i="2" l="1"/>
  <c r="M26" i="2"/>
  <c r="W39" i="2" l="1"/>
  <c r="M27" i="2"/>
  <c r="W40" i="2" l="1"/>
  <c r="M28" i="2"/>
  <c r="W41" i="2" l="1"/>
  <c r="M29" i="2"/>
  <c r="W42" i="2" l="1"/>
  <c r="M30" i="2"/>
  <c r="W43" i="2" l="1"/>
  <c r="M31" i="2"/>
  <c r="W44" i="2" l="1"/>
  <c r="M32" i="2"/>
  <c r="W45" i="2" l="1"/>
  <c r="M33" i="2"/>
  <c r="W46" i="2" l="1"/>
  <c r="M34" i="2"/>
  <c r="W47" i="2" l="1"/>
  <c r="M35" i="2"/>
  <c r="W48" i="2" l="1"/>
  <c r="M36" i="2"/>
  <c r="W49" i="2" l="1"/>
  <c r="M37" i="2"/>
  <c r="W50" i="2" l="1"/>
  <c r="M38" i="2"/>
  <c r="W51" i="2" l="1"/>
  <c r="M39" i="2"/>
  <c r="W52" i="2" l="1"/>
  <c r="S52" i="2"/>
  <c r="M40" i="2"/>
  <c r="G27" i="1" l="1"/>
  <c r="M41" i="2"/>
  <c r="M42" i="2" l="1"/>
  <c r="M43" i="2" l="1"/>
  <c r="M44" i="2" l="1"/>
  <c r="M45" i="2" l="1"/>
  <c r="M46" i="2" l="1"/>
  <c r="M47" i="2" l="1"/>
  <c r="M48" i="2" l="1"/>
  <c r="M49" i="2" l="1"/>
  <c r="M50" i="2" l="1"/>
  <c r="M51" i="2" l="1"/>
  <c r="G22" i="1" l="1"/>
  <c r="G24" i="1" s="1"/>
  <c r="F22" i="2" l="1"/>
  <c r="E22" i="2"/>
  <c r="G22" i="2"/>
  <c r="Q22" i="2" l="1"/>
  <c r="C22" i="2" l="1"/>
  <c r="N22" i="2" l="1"/>
  <c r="H22" i="2" s="1"/>
  <c r="O22" i="2"/>
  <c r="I22" i="2" s="1"/>
  <c r="M22" i="2" l="1"/>
  <c r="M2" i="2" l="1"/>
  <c r="L2" i="2" l="1"/>
  <c r="D3" i="2" s="1"/>
  <c r="C3" i="2"/>
  <c r="O3" i="2" l="1"/>
  <c r="N3" i="2"/>
  <c r="G3" i="2"/>
  <c r="E3" i="2"/>
  <c r="F3" i="2"/>
  <c r="H3" i="2" l="1"/>
  <c r="J3" i="2"/>
  <c r="I3" i="2"/>
  <c r="Q3" i="2" l="1"/>
  <c r="K3" i="2"/>
  <c r="M3" i="2" l="1"/>
  <c r="L3" i="2" l="1"/>
  <c r="D4" i="2" s="1"/>
  <c r="C4" i="2"/>
  <c r="N4" i="2" l="1"/>
  <c r="O4" i="2"/>
  <c r="E4" i="2"/>
  <c r="F4" i="2"/>
  <c r="G4" i="2"/>
  <c r="H4" i="2" l="1"/>
  <c r="J4" i="2"/>
  <c r="I4" i="2"/>
  <c r="Q4" i="2" l="1"/>
  <c r="K4" i="2"/>
  <c r="M4" i="2" l="1"/>
  <c r="C5" i="2" l="1"/>
  <c r="L4" i="2"/>
  <c r="D5" i="2" s="1"/>
  <c r="N5" i="2" l="1"/>
  <c r="O5" i="2"/>
  <c r="G5" i="2"/>
  <c r="E5" i="2"/>
  <c r="F5" i="2"/>
  <c r="H5" i="2" l="1"/>
  <c r="J5" i="2"/>
  <c r="I5" i="2"/>
  <c r="K5" i="2" l="1"/>
  <c r="Q5" i="2"/>
  <c r="M5" i="2" l="1"/>
  <c r="L5" i="2" s="1"/>
  <c r="D6" i="2" s="1"/>
  <c r="C6" i="2" l="1"/>
  <c r="N6" i="2" l="1"/>
  <c r="O6" i="2"/>
  <c r="E6" i="2"/>
  <c r="F6" i="2"/>
  <c r="G6" i="2"/>
  <c r="H6" i="2" l="1"/>
  <c r="I6" i="2"/>
  <c r="J6" i="2"/>
  <c r="Q6" i="2" l="1"/>
  <c r="K6" i="2"/>
  <c r="M6" i="2" s="1"/>
  <c r="L6" i="2" s="1"/>
  <c r="D7" i="2" l="1"/>
  <c r="C7" i="2"/>
  <c r="N7" i="2" l="1"/>
  <c r="O7" i="2"/>
  <c r="G7" i="2"/>
  <c r="E7" i="2"/>
  <c r="F7" i="2"/>
  <c r="H7" i="2" l="1"/>
  <c r="I7" i="2"/>
  <c r="J7" i="2"/>
  <c r="Q7" i="2" l="1"/>
  <c r="K7" i="2"/>
  <c r="M7" i="2" s="1"/>
  <c r="L7" i="2" s="1"/>
  <c r="D8" i="2" l="1"/>
  <c r="C8" i="2"/>
  <c r="N8" i="2" l="1"/>
  <c r="O8" i="2"/>
  <c r="E8" i="2"/>
  <c r="G8" i="2"/>
  <c r="F8" i="2"/>
  <c r="H8" i="2" l="1"/>
  <c r="I8" i="2"/>
  <c r="J8" i="2"/>
  <c r="Q8" i="2" l="1"/>
  <c r="K8" i="2"/>
  <c r="M8" i="2" s="1"/>
  <c r="L8" i="2" s="1"/>
  <c r="D9" i="2" l="1"/>
  <c r="C9" i="2"/>
  <c r="N9" i="2" l="1"/>
  <c r="O9" i="2"/>
  <c r="E9" i="2"/>
  <c r="F9" i="2"/>
  <c r="G9" i="2"/>
  <c r="J9" i="2" l="1"/>
  <c r="Q9" i="2" s="1"/>
  <c r="H9" i="2"/>
  <c r="I9" i="2"/>
  <c r="K9" i="2" l="1"/>
  <c r="M9" i="2" s="1"/>
  <c r="C10" i="2" s="1"/>
  <c r="O10" i="2" s="1"/>
  <c r="G10" i="2" l="1"/>
  <c r="E10" i="2"/>
  <c r="F10" i="2"/>
  <c r="N10" i="2"/>
  <c r="I10" i="2"/>
  <c r="L9" i="2"/>
  <c r="D10" i="2" s="1"/>
  <c r="J10" i="2" s="1"/>
  <c r="H10" i="2" l="1"/>
  <c r="Q10" i="2"/>
  <c r="K10" i="2"/>
  <c r="M10" i="2" s="1"/>
  <c r="L10" i="2" l="1"/>
  <c r="D11" i="2" s="1"/>
  <c r="C11" i="2"/>
  <c r="N11" i="2" l="1"/>
  <c r="O11" i="2"/>
  <c r="F11" i="2"/>
  <c r="G11" i="2"/>
  <c r="E11" i="2"/>
  <c r="H11" i="2" l="1"/>
  <c r="I11" i="2"/>
  <c r="J11" i="2"/>
  <c r="Q11" i="2" l="1"/>
  <c r="K11" i="2"/>
  <c r="M11" i="2" l="1"/>
  <c r="L11" i="2" l="1"/>
  <c r="D12" i="2" s="1"/>
  <c r="C12" i="2"/>
  <c r="N12" i="2" l="1"/>
  <c r="O12" i="2"/>
  <c r="F12" i="2"/>
  <c r="E12" i="2"/>
  <c r="G12" i="2"/>
  <c r="H12" i="2" l="1"/>
  <c r="I12" i="2"/>
  <c r="J12" i="2"/>
  <c r="Q12" i="2" l="1"/>
  <c r="K12" i="2"/>
  <c r="M12" i="2" l="1"/>
  <c r="L12" i="2" l="1"/>
  <c r="D13" i="2" s="1"/>
  <c r="C13" i="2"/>
  <c r="N13" i="2" l="1"/>
  <c r="O13" i="2"/>
  <c r="E13" i="2"/>
  <c r="G13" i="2"/>
  <c r="F13" i="2"/>
  <c r="H13" i="2" l="1"/>
  <c r="I13" i="2"/>
  <c r="J13" i="2"/>
  <c r="K13" i="2" l="1"/>
  <c r="Q13" i="2"/>
  <c r="M13" i="2" l="1"/>
  <c r="L13" i="2" l="1"/>
  <c r="D14" i="2" s="1"/>
  <c r="C14" i="2"/>
  <c r="N14" i="2" l="1"/>
  <c r="O14" i="2"/>
  <c r="E14" i="2"/>
  <c r="F14" i="2"/>
  <c r="G14" i="2"/>
  <c r="H14" i="2" l="1"/>
  <c r="I14" i="2"/>
  <c r="J14" i="2"/>
  <c r="Q14" i="2" l="1"/>
  <c r="K14" i="2"/>
  <c r="M14" i="2" l="1"/>
  <c r="L14" i="2" l="1"/>
  <c r="D15" i="2" s="1"/>
  <c r="C15" i="2"/>
  <c r="N15" i="2" l="1"/>
  <c r="O15" i="2"/>
  <c r="G15" i="2"/>
  <c r="F15" i="2"/>
  <c r="E15" i="2"/>
  <c r="H15" i="2" l="1"/>
  <c r="J15" i="2"/>
  <c r="I15" i="2"/>
  <c r="K15" i="2" l="1"/>
  <c r="Q15" i="2"/>
  <c r="M15" i="2" l="1"/>
  <c r="L15" i="2" l="1"/>
  <c r="D16" i="2" s="1"/>
  <c r="C16" i="2"/>
  <c r="N16" i="2" l="1"/>
  <c r="O16" i="2"/>
  <c r="F16" i="2"/>
  <c r="E16" i="2"/>
  <c r="G16" i="2"/>
  <c r="H16" i="2" l="1"/>
  <c r="I16" i="2"/>
  <c r="J16" i="2"/>
  <c r="Q16" i="2" l="1"/>
  <c r="K16" i="2"/>
  <c r="M16" i="2" s="1"/>
  <c r="L16" i="2" l="1"/>
  <c r="D17" i="2" s="1"/>
  <c r="C17" i="2"/>
  <c r="N17" i="2" l="1"/>
  <c r="O17" i="2"/>
  <c r="G17" i="2"/>
  <c r="E17" i="2"/>
  <c r="F17" i="2"/>
  <c r="H17" i="2" l="1"/>
  <c r="I17" i="2"/>
  <c r="J17" i="2"/>
  <c r="K17" i="2" l="1"/>
  <c r="M17" i="2" s="1"/>
  <c r="Q17" i="2"/>
  <c r="L17" i="2" l="1"/>
  <c r="D18" i="2" s="1"/>
  <c r="C18" i="2"/>
  <c r="N18" i="2" l="1"/>
  <c r="O18" i="2"/>
  <c r="E18" i="2"/>
  <c r="G18" i="2"/>
  <c r="F18" i="2"/>
  <c r="H18" i="2" l="1"/>
  <c r="I18" i="2"/>
  <c r="J18" i="2"/>
  <c r="Q18" i="2" l="1"/>
  <c r="K18" i="2"/>
  <c r="M18" i="2" s="1"/>
  <c r="L18" i="2" l="1"/>
  <c r="D19" i="2" s="1"/>
  <c r="C19" i="2"/>
  <c r="N19" i="2" l="1"/>
  <c r="O19" i="2"/>
  <c r="F19" i="2"/>
  <c r="E19" i="2"/>
  <c r="G19" i="2"/>
  <c r="H19" i="2" l="1"/>
  <c r="I19" i="2"/>
  <c r="J19" i="2"/>
  <c r="K19" i="2" l="1"/>
  <c r="M19" i="2" s="1"/>
  <c r="Q19" i="2"/>
  <c r="L19" i="2" l="1"/>
  <c r="D20" i="2" s="1"/>
  <c r="C20" i="2"/>
  <c r="N20" i="2" l="1"/>
  <c r="O20" i="2"/>
  <c r="F20" i="2"/>
  <c r="G20" i="2"/>
  <c r="E20" i="2"/>
  <c r="H20" i="2" l="1"/>
  <c r="I20" i="2"/>
  <c r="J20" i="2"/>
  <c r="Q20" i="2" l="1"/>
  <c r="K20" i="2"/>
  <c r="M20" i="2" s="1"/>
  <c r="L20" i="2" l="1"/>
  <c r="D21" i="2" s="1"/>
  <c r="C21" i="2"/>
  <c r="N21" i="2" l="1"/>
  <c r="O21" i="2"/>
  <c r="N52" i="2" a="1"/>
  <c r="N52" i="2" s="1"/>
  <c r="O52" i="2" a="1"/>
  <c r="O52" i="2" s="1"/>
  <c r="F21" i="2"/>
  <c r="G21" i="2"/>
  <c r="E21" i="2"/>
  <c r="E52" i="2" s="1"/>
  <c r="H21" i="2" l="1"/>
  <c r="F26" i="1"/>
  <c r="F27" i="1" s="1"/>
  <c r="I21" i="2"/>
  <c r="I52" i="2" s="1"/>
  <c r="G52" i="2"/>
  <c r="F52" i="2"/>
  <c r="J21" i="2"/>
  <c r="K21" i="2" l="1"/>
  <c r="K52" i="2" s="1"/>
  <c r="Q21" i="2"/>
  <c r="J52" i="2"/>
  <c r="H52" i="2"/>
  <c r="Q52" i="2" l="1" a="1"/>
  <c r="Q52" i="2" s="1"/>
  <c r="M21" i="2"/>
  <c r="E25" i="1" s="1"/>
  <c r="E23" i="1"/>
  <c r="E24" i="1" s="1"/>
  <c r="L21" i="2" l="1"/>
  <c r="L22" i="2" l="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L46" i="2" s="1"/>
  <c r="L47" i="2" s="1"/>
  <c r="L48" i="2" s="1"/>
  <c r="L49" i="2" s="1"/>
  <c r="L50" i="2" s="1"/>
  <c r="L51" i="2" s="1"/>
  <c r="L52" i="2" l="1" a="1"/>
  <c r="L52" i="2" s="1"/>
  <c r="E26" i="1" s="1"/>
  <c r="E2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<sst xmlns="http://schemas.openxmlformats.org/spreadsheetml/2006/main" count="143" uniqueCount="86">
  <si>
    <t>Initial investment</t>
  </si>
  <si>
    <t>Net annual rate of return</t>
  </si>
  <si>
    <t>of which</t>
  </si>
  <si>
    <t>Capital growth component</t>
  </si>
  <si>
    <t>Dividend component</t>
  </si>
  <si>
    <t>Annual withdrawals</t>
  </si>
  <si>
    <t>Term in years</t>
  </si>
  <si>
    <t>Interest component</t>
  </si>
  <si>
    <t>Current tax rate</t>
  </si>
  <si>
    <t>Personal tax paid during the term</t>
  </si>
  <si>
    <t>Total tax paid during the term</t>
  </si>
  <si>
    <t xml:space="preserve">Collective </t>
  </si>
  <si>
    <t>Offshore bond</t>
  </si>
  <si>
    <t>Onshore bond</t>
  </si>
  <si>
    <t>Year</t>
  </si>
  <si>
    <t>Of which capital</t>
  </si>
  <si>
    <t>Of which Interest</t>
  </si>
  <si>
    <t>Value Offshore bond</t>
  </si>
  <si>
    <t>Value Onshore bond</t>
  </si>
  <si>
    <t>Of which dividends</t>
  </si>
  <si>
    <t>Of which interest</t>
  </si>
  <si>
    <t>Dividend allowance</t>
  </si>
  <si>
    <t>Divs</t>
  </si>
  <si>
    <t>CGT indexed</t>
  </si>
  <si>
    <t>CGT</t>
  </si>
  <si>
    <t>Yes</t>
  </si>
  <si>
    <t>No</t>
  </si>
  <si>
    <t>Tax on Interest</t>
  </si>
  <si>
    <t>Tax on Divs</t>
  </si>
  <si>
    <t>Tax on interest</t>
  </si>
  <si>
    <t>Of which Dividends</t>
  </si>
  <si>
    <t>Withdrawals</t>
  </si>
  <si>
    <t>Life fund gain tax</t>
  </si>
  <si>
    <t>Personal savings allowance adjusted</t>
  </si>
  <si>
    <t>Withdrawal gain</t>
  </si>
  <si>
    <t>Withdrawal Tax</t>
  </si>
  <si>
    <t>Cost price</t>
  </si>
  <si>
    <t>Personal savings allowance</t>
  </si>
  <si>
    <t>Capital growth</t>
  </si>
  <si>
    <t>Value of collective post growth and tax</t>
  </si>
  <si>
    <t xml:space="preserve">Value Collective pre growth </t>
  </si>
  <si>
    <t>CGT available</t>
  </si>
  <si>
    <t>Gain after withdrawal</t>
  </si>
  <si>
    <t>Tax paid within the product</t>
  </si>
  <si>
    <t>Personal tax paid on full withdrawal</t>
  </si>
  <si>
    <t>Full withdrawal value net of tax</t>
  </si>
  <si>
    <t>Expected tax rate on full withdrawal</t>
  </si>
  <si>
    <t>Full withdrawal value</t>
  </si>
  <si>
    <t>Total withdrawals during the term</t>
  </si>
  <si>
    <r>
      <rPr>
        <b/>
        <sz val="14"/>
        <color rgb="FF006150"/>
        <rFont val="Times New Roman"/>
        <family val="1"/>
      </rPr>
      <t xml:space="preserve">           Net investment returns </t>
    </r>
    <r>
      <rPr>
        <b/>
        <sz val="14"/>
        <color theme="1"/>
        <rFont val="Times New Roman"/>
        <family val="1"/>
      </rPr>
      <t>Calculator</t>
    </r>
  </si>
  <si>
    <t>CGT allowance</t>
  </si>
  <si>
    <t>Dividend</t>
  </si>
  <si>
    <t>PSA</t>
  </si>
  <si>
    <t>Produced on</t>
  </si>
  <si>
    <t>Tax year ending</t>
  </si>
  <si>
    <t>Personal allowance</t>
  </si>
  <si>
    <t>Starting rate</t>
  </si>
  <si>
    <t>2. Figures for the Collective (General) Investment Account assume that any Capital Gains Tax (CGT) due on a 'cash-in' or 'withdrawal' is payable at 20% where the current or expected tax rate is 40% or 45% and 10% otherwise, i.e. it is assumed that the gain does not push a nil or basic rate taxpayer into the higher CGT bracket. CGT, dividend and personal Saings allowances are assumed to increase at 2% p.a. from 2028/29</t>
  </si>
  <si>
    <t xml:space="preserve">launch </t>
  </si>
  <si>
    <t>V1</t>
  </si>
  <si>
    <t>V2</t>
  </si>
  <si>
    <t>Post autumn statement 2022</t>
  </si>
  <si>
    <t>Date</t>
  </si>
  <si>
    <t>Version</t>
  </si>
  <si>
    <t>Comments</t>
  </si>
  <si>
    <t>V3</t>
  </si>
  <si>
    <t>Tailor allowances</t>
  </si>
  <si>
    <t xml:space="preserve">Allowances already used </t>
  </si>
  <si>
    <t>Allowance used</t>
  </si>
  <si>
    <t>Current allowances</t>
  </si>
  <si>
    <t>Taper for offshore</t>
  </si>
  <si>
    <t>Gain</t>
  </si>
  <si>
    <t>Tapered personal all</t>
  </si>
  <si>
    <t>Known reductions in dividend and CGT allowances built into the tool with inflation increases post 2028</t>
  </si>
  <si>
    <t>Other inputs</t>
  </si>
  <si>
    <t>CGT AEA yearly</t>
  </si>
  <si>
    <t>CGT AEA used each year</t>
  </si>
  <si>
    <t>1. Figures for the Collective (General) Investment Account reflect the fact that income will be distributed as dividends or interest yearly. The calculator assumes therefore that product tax is nil and the personal tax paid during term depends on the 'current tax rate' of the investor. The personal savings allowance and dividend allowance will apply as appropriate at the end of each year. Offshore bond figures assume no internal fund taxation. In practice the income from some investments linked to the bond may suffer irrecoverable withholding tax. Onshore bond figures assume that tax is deducted from the fund at the rate of 20% a year on capital growth, 20% on interest and 0% on dividends.</t>
  </si>
  <si>
    <t xml:space="preserve">3. Where 'CGT AEA used each year' is selected the tool will increase the ongoing base costs by the available CGT annual exempt amount at the end of each respective year except the final year. </t>
  </si>
  <si>
    <t>4. Top-slicing is assumed to continue as at present. It is assumed that the investor is UK resident for tax purposes throughout the term of the investment and at cash-in. Where 0% is select for expected tax rate, up to the sum of current Personal Allowance, Starting Rate and Personal Savings Allowance of an Offshore bond gain is taxed at 0% with the rest at 20%. If the offshore bond gain exceeds £100,000 the personal allowance is lost at a rate of £1 for every £2 excess.</t>
  </si>
  <si>
    <t>5. The calculator does not include the effect of any product charges or product conditions such as minimum investments.</t>
  </si>
  <si>
    <t>6. The calculator is designed to give a general demonstration of the comparative returns from Collective (General) Investment Accounts and Bonds net of tax. It should not be taken as offering advice or any recommendation. It is not providing a personalised illustration, this should be obtained prior to using this calculator. Every care has been taken as to its accuracy, but it must be appreciated that neither Quilter nor its representatives can accept any responsibility for loss, however caused, suffered by any person who has acted or refrained from acting as a result of material contained in this calculator.</t>
  </si>
  <si>
    <t>7. Offshore is a common term that is used to describe a range of locations where companies can offer customers growth on their funds that is largely free from tax. This includes jurisdictions such as the Isle of Man and Ireland. Tax treatment can vary from one type of investment to another, and from one market to another.</t>
  </si>
  <si>
    <t xml:space="preserve">8. Annual withdrawals entered are deducted on the last day of each respective year. </t>
  </si>
  <si>
    <t>9. The above is based on our understanding of current (October 2023) taxation, legislation and HM Revenue &amp; Customs practice, all of which are liable to change without notice. The impact of taxation (and any tax reliefs) depends on individual circumstances.</t>
  </si>
  <si>
    <t>Ability to reduce % of allowances and rebase the CGT cost each year on 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</si>
</sst>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F800]dddd\,\ mmmm\ dd\,\ yyyy"/>
  </numFmts>
  <fonts count="14" x14ac:knownFonts="1">
    <font>
      <sz val="11"/>
      <color theme="1"/>
      <name val="Times New Roman"/>
      <family val="2"/>
    </font>
    <font>
      <sz val="11"/>
      <name val="Times New Roman"/>
      <family val="1"/>
    </font>
    <font>
      <sz val="14"/>
      <color theme="1"/>
      <name val="Times New Roman"/>
      <family val="2"/>
    </font>
    <font>
      <b/>
      <sz val="14"/>
      <color theme="1"/>
      <name val="Times New Roman"/>
      <family val="1"/>
    </font>
    <font>
      <b/>
      <sz val="14"/>
      <color rgb="FF006150"/>
      <name val="Times New Roman"/>
      <family val="1"/>
    </font>
    <font>
      <b/>
      <u/>
      <sz val="14"/>
      <color theme="1"/>
      <name val="Times New Roman"/>
      <family val="1"/>
    </font>
    <font>
      <b/>
      <sz val="14"/>
      <name val="Times New Roman"/>
      <family val="1"/>
    </font>
    <font>
      <b/>
      <sz val="12"/>
      <name val="Times New Roman"/>
      <family val="1"/>
    </font>
    <font>
      <b/>
      <sz val="12"/>
      <color theme="1"/>
      <name val="Times New Roman"/>
      <family val="1"/>
    </font>
    <font>
      <b/>
      <sz val="12"/>
      <color theme="0"/>
      <name val="Georgia"/>
      <family val="1"/>
    </font>
    <font>
      <b/>
      <u/>
      <sz val="12"/>
      <color theme="1"/>
      <name val="Times New Roman"/>
      <family val="1"/>
    </font>
    <font>
      <u/>
      <sz val="11"/>
      <color theme="10"/>
      <name val="Times New Roman"/>
      <family val="2"/>
    </font>
    <font>
      <u/>
      <sz val="9"/>
      <color rgb="FF006150"/>
      <name val="Times New Roman"/>
      <family val="2"/>
    </font>
    <font>
      <b/>
      <u/>
      <sz val="12"/>
      <name val="Times New Roman"/>
      <family val="1"/>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rgb="FF006150"/>
      </right>
      <top/>
      <bottom/>
      <diagonal/>
    </border>
    <border>
      <left style="medium">
        <color rgb="FF006150"/>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rgb="FF6EAB24"/>
      </left>
      <right/>
      <top style="thick">
        <color rgb="FF6EAB24"/>
      </top>
      <bottom/>
      <diagonal/>
    </border>
    <border>
      <left/>
      <right/>
      <top style="thick">
        <color rgb="FF6EAB24"/>
      </top>
      <bottom/>
      <diagonal/>
    </border>
    <border>
      <left/>
      <right style="thick">
        <color rgb="FF6EAB24"/>
      </right>
      <top style="thick">
        <color rgb="FF6EAB24"/>
      </top>
      <bottom/>
      <diagonal/>
    </border>
    <border>
      <left style="thick">
        <color rgb="FF6EAB24"/>
      </left>
      <right/>
      <top/>
      <bottom/>
      <diagonal/>
    </border>
    <border>
      <left/>
      <right style="thick">
        <color rgb="FF6EAB24"/>
      </right>
      <top/>
      <bottom/>
      <diagonal/>
    </border>
    <border>
      <left style="medium">
        <color indexed="64"/>
      </left>
      <right style="thick">
        <color rgb="FF6EAB24"/>
      </right>
      <top/>
      <bottom/>
      <diagonal/>
    </border>
    <border>
      <left style="thick">
        <color rgb="FF6EAB24"/>
      </left>
      <right/>
      <top/>
      <bottom style="thick">
        <color rgb="FF6EAB24"/>
      </bottom>
      <diagonal/>
    </border>
    <border>
      <left/>
      <right/>
      <top/>
      <bottom style="thick">
        <color rgb="FF6EAB24"/>
      </bottom>
      <diagonal/>
    </border>
    <border>
      <left/>
      <right style="thick">
        <color rgb="FF6EAB24"/>
      </right>
      <top/>
      <bottom style="thick">
        <color rgb="FF6EAB24"/>
      </bottom>
      <diagonal/>
    </border>
    <border>
      <left/>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70">
    <xf numFmtId="0" fontId="0" fillId="0" borderId="0" xfId="0"/>
    <xf numFmtId="165" fontId="0" fillId="0" borderId="0" xfId="0" applyNumberFormat="1"/>
    <xf numFmtId="9" fontId="0" fillId="0" borderId="0" xfId="0" applyNumberFormat="1"/>
    <xf numFmtId="0" fontId="0" fillId="0" borderId="0" xfId="0" applyProtection="1"/>
    <xf numFmtId="10" fontId="0" fillId="0" borderId="0" xfId="0" applyNumberFormat="1"/>
    <xf numFmtId="0" fontId="2" fillId="0" borderId="0" xfId="0" applyFont="1"/>
    <xf numFmtId="0" fontId="2" fillId="0" borderId="0" xfId="0" applyFont="1" applyBorder="1" applyProtection="1"/>
    <xf numFmtId="0" fontId="0" fillId="0" borderId="5" xfId="0" applyBorder="1"/>
    <xf numFmtId="0" fontId="2" fillId="0" borderId="0" xfId="0" applyFont="1" applyBorder="1"/>
    <xf numFmtId="0" fontId="0" fillId="0" borderId="6" xfId="0" applyBorder="1"/>
    <xf numFmtId="0" fontId="2" fillId="0" borderId="0" xfId="0" applyFont="1" applyBorder="1" applyAlignment="1"/>
    <xf numFmtId="0" fontId="3" fillId="0" borderId="0" xfId="0" applyFont="1" applyBorder="1" applyAlignment="1"/>
    <xf numFmtId="0" fontId="0" fillId="0" borderId="0" xfId="0" applyBorder="1"/>
    <xf numFmtId="0" fontId="5" fillId="0" borderId="0" xfId="0" applyFont="1" applyBorder="1" applyProtection="1"/>
    <xf numFmtId="0" fontId="0" fillId="0" borderId="0" xfId="0" applyFill="1" applyBorder="1" applyProtection="1"/>
    <xf numFmtId="1" fontId="0" fillId="0" borderId="0" xfId="0" applyNumberFormat="1"/>
    <xf numFmtId="0" fontId="2" fillId="0" borderId="0" xfId="0" applyFont="1" applyFill="1" applyBorder="1" applyProtection="1"/>
    <xf numFmtId="0" fontId="3" fillId="0" borderId="0" xfId="0" applyFont="1" applyBorder="1" applyProtection="1"/>
    <xf numFmtId="0" fontId="2" fillId="0" borderId="3" xfId="0" applyFont="1" applyFill="1" applyBorder="1" applyProtection="1"/>
    <xf numFmtId="0" fontId="3" fillId="0" borderId="0" xfId="0" applyFont="1" applyFill="1" applyBorder="1" applyProtection="1"/>
    <xf numFmtId="0" fontId="6" fillId="0" borderId="2" xfId="0" applyFont="1" applyFill="1" applyBorder="1" applyProtection="1"/>
    <xf numFmtId="10" fontId="6" fillId="0" borderId="1" xfId="0" applyNumberFormat="1" applyFont="1" applyFill="1" applyBorder="1" applyProtection="1"/>
    <xf numFmtId="165" fontId="3" fillId="0" borderId="1" xfId="0" applyNumberFormat="1" applyFont="1" applyFill="1" applyBorder="1" applyProtection="1"/>
    <xf numFmtId="0" fontId="2" fillId="0" borderId="0" xfId="0" applyFont="1" applyFill="1" applyBorder="1" applyAlignment="1"/>
    <xf numFmtId="0" fontId="2" fillId="0" borderId="0" xfId="0" applyFont="1" applyFill="1" applyBorder="1"/>
    <xf numFmtId="0" fontId="2" fillId="0" borderId="10" xfId="0" applyFont="1" applyBorder="1" applyAlignment="1"/>
    <xf numFmtId="0" fontId="3" fillId="0" borderId="11" xfId="0" applyFont="1" applyBorder="1" applyAlignment="1"/>
    <xf numFmtId="0" fontId="2" fillId="0" borderId="11" xfId="0" applyFont="1" applyBorder="1" applyAlignment="1"/>
    <xf numFmtId="0" fontId="2" fillId="0" borderId="11" xfId="0" applyFont="1" applyBorder="1"/>
    <xf numFmtId="0" fontId="0" fillId="0" borderId="11" xfId="0" applyBorder="1"/>
    <xf numFmtId="0" fontId="2" fillId="0" borderId="12" xfId="0" applyFont="1" applyBorder="1"/>
    <xf numFmtId="0" fontId="2" fillId="0" borderId="13" xfId="0" applyFont="1" applyBorder="1" applyAlignment="1"/>
    <xf numFmtId="0" fontId="2" fillId="0" borderId="14" xfId="0" applyFont="1" applyBorder="1"/>
    <xf numFmtId="0" fontId="2" fillId="0" borderId="13" xfId="0" applyFont="1" applyFill="1" applyBorder="1" applyAlignment="1"/>
    <xf numFmtId="0" fontId="2" fillId="0" borderId="14" xfId="0" applyFont="1" applyFill="1" applyBorder="1"/>
    <xf numFmtId="0" fontId="0" fillId="0" borderId="13" xfId="0" applyFill="1" applyBorder="1"/>
    <xf numFmtId="0" fontId="0" fillId="0" borderId="15" xfId="0" applyFill="1" applyBorder="1"/>
    <xf numFmtId="0" fontId="0" fillId="0" borderId="14" xfId="0" applyFill="1" applyBorder="1"/>
    <xf numFmtId="0" fontId="0" fillId="0" borderId="13" xfId="0" applyBorder="1"/>
    <xf numFmtId="0" fontId="0" fillId="0" borderId="14" xfId="0" applyBorder="1"/>
    <xf numFmtId="0" fontId="0" fillId="0" borderId="16" xfId="0" applyBorder="1"/>
    <xf numFmtId="0" fontId="0" fillId="0" borderId="17" xfId="0" applyBorder="1" applyProtection="1"/>
    <xf numFmtId="0" fontId="0" fillId="0" borderId="18" xfId="0" applyBorder="1"/>
    <xf numFmtId="164" fontId="6" fillId="2" borderId="7" xfId="0" applyNumberFormat="1" applyFont="1" applyFill="1" applyBorder="1" applyProtection="1">
      <protection locked="0"/>
    </xf>
    <xf numFmtId="10" fontId="6" fillId="2" borderId="1" xfId="0" applyNumberFormat="1" applyFont="1" applyFill="1" applyBorder="1" applyProtection="1">
      <protection locked="0"/>
    </xf>
    <xf numFmtId="10" fontId="6" fillId="2" borderId="8" xfId="0" applyNumberFormat="1" applyFont="1" applyFill="1" applyBorder="1" applyProtection="1">
      <protection locked="0"/>
    </xf>
    <xf numFmtId="10" fontId="6" fillId="2" borderId="9" xfId="0" applyNumberFormat="1" applyFont="1" applyFill="1" applyBorder="1" applyProtection="1">
      <protection locked="0"/>
    </xf>
    <xf numFmtId="9" fontId="6" fillId="2" borderId="1" xfId="0" applyNumberFormat="1" applyFont="1" applyFill="1" applyBorder="1" applyProtection="1">
      <protection locked="0"/>
    </xf>
    <xf numFmtId="1" fontId="6" fillId="2" borderId="1" xfId="0" applyNumberFormat="1" applyFont="1" applyFill="1" applyBorder="1" applyProtection="1">
      <protection locked="0"/>
    </xf>
    <xf numFmtId="0" fontId="7" fillId="0" borderId="0" xfId="0" applyFont="1" applyFill="1" applyBorder="1" applyProtection="1"/>
    <xf numFmtId="0" fontId="7" fillId="0" borderId="4" xfId="0" applyFont="1" applyFill="1" applyBorder="1" applyProtection="1"/>
    <xf numFmtId="0" fontId="8" fillId="0" borderId="0" xfId="0" applyFont="1" applyFill="1" applyBorder="1" applyProtection="1"/>
    <xf numFmtId="165" fontId="3" fillId="0" borderId="7" xfId="0" applyNumberFormat="1" applyFont="1" applyFill="1" applyBorder="1" applyProtection="1"/>
    <xf numFmtId="0" fontId="9" fillId="0" borderId="0" xfId="0" applyFont="1" applyAlignment="1">
      <alignment horizontal="left" vertical="center" wrapText="1" indent="1"/>
    </xf>
    <xf numFmtId="17" fontId="0" fillId="0" borderId="0" xfId="0" applyNumberFormat="1"/>
    <xf numFmtId="0" fontId="7" fillId="0" borderId="0" xfId="0" applyFont="1" applyFill="1" applyBorder="1" applyAlignment="1" applyProtection="1">
      <alignment horizontal="left"/>
    </xf>
    <xf numFmtId="0" fontId="10" fillId="0" borderId="0" xfId="0" applyFont="1" applyFill="1" applyBorder="1" applyProtection="1"/>
    <xf numFmtId="165" fontId="0" fillId="0" borderId="0" xfId="0" applyNumberFormat="1" applyFill="1"/>
    <xf numFmtId="9" fontId="3" fillId="2" borderId="1" xfId="0" applyNumberFormat="1" applyFont="1" applyFill="1" applyBorder="1" applyProtection="1">
      <protection locked="0"/>
    </xf>
    <xf numFmtId="0" fontId="10" fillId="0" borderId="0" xfId="0" applyFont="1" applyFill="1" applyBorder="1"/>
    <xf numFmtId="9" fontId="6" fillId="0" borderId="19" xfId="0" applyNumberFormat="1" applyFont="1" applyFill="1" applyBorder="1" applyProtection="1"/>
    <xf numFmtId="0" fontId="12" fillId="0" borderId="3" xfId="1" applyFont="1" applyFill="1" applyBorder="1" applyProtection="1"/>
    <xf numFmtId="164" fontId="0" fillId="0" borderId="0" xfId="0" applyNumberFormat="1"/>
    <xf numFmtId="0" fontId="13" fillId="0" borderId="0" xfId="0" applyFont="1" applyFill="1" applyBorder="1" applyProtection="1"/>
    <xf numFmtId="0" fontId="3" fillId="2" borderId="1" xfId="0" applyFont="1" applyFill="1" applyBorder="1" applyAlignment="1" applyProtection="1">
      <alignment horizontal="right"/>
      <protection locked="0"/>
    </xf>
    <xf numFmtId="0" fontId="1" fillId="0" borderId="0" xfId="0" applyFont="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Border="1" applyAlignment="1">
      <alignment horizontal="center"/>
    </xf>
    <xf numFmtId="0" fontId="1" fillId="0" borderId="0" xfId="0" applyFont="1" applyAlignment="1" applyProtection="1">
      <alignment horizontal="left" vertical="top" wrapText="1"/>
    </xf>
    <xf numFmtId="166" fontId="3" fillId="0" borderId="0" xfId="0" applyNumberFormat="1" applyFont="1" applyBorder="1" applyAlignment="1" applyProtection="1">
      <alignment horizontal="left"/>
    </xf>
  </cellXfs>
  <cellStyles count="2">
    <cellStyle name="Hyperlink" xfId="1" builtinId="8"/>
    <cellStyle name="Normal" xfId="0" builtinId="0"/>
  </cellStyles>
  <dxfs count="0"/>
  <tableStyles count="0" defaultTableStyle="TableStyleMedium2" defaultPivotStyle="PivotStyleLight16"/>
  <colors>
    <mruColors>
      <color rgb="FF6EAB24"/>
      <color rgb="FF006150"/>
      <color rgb="FF9AC466"/>
      <color rgb="FFD3E6BD"/>
      <color rgb="FF4C9085"/>
      <color rgb="FF7FB0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1</xdr:row>
      <xdr:rowOff>34511</xdr:rowOff>
    </xdr:from>
    <xdr:to>
      <xdr:col>2</xdr:col>
      <xdr:colOff>1645202</xdr:colOff>
      <xdr:row>5</xdr:row>
      <xdr:rowOff>97045</xdr:rowOff>
    </xdr:to>
    <xdr:pic>
      <xdr:nvPicPr>
        <xdr:cNvPr id="3" name="Picture 2">
          <a:extLst>
            <a:ext uri="{FF2B5EF4-FFF2-40B4-BE49-F238E27FC236}">
              <a16:creationId xmlns:a16="http://schemas.microsoft.com/office/drawing/2014/main" id="{373C9CAA-A549-47AF-BB50-EBE919685EF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3206" y="213968"/>
          <a:ext cx="1955800" cy="987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53"/>
  <sheetViews>
    <sheetView showGridLines="0" showRowColHeaders="0" tabSelected="1" topLeftCell="A5" zoomScaleNormal="100" workbookViewId="0">
      <selection activeCell="D7" sqref="D7"/>
    </sheetView>
  </sheetViews>
  <sheetFormatPr defaultColWidth="0" defaultRowHeight="14" zeroHeight="1" x14ac:dyDescent="0.3"/>
  <cols>
    <col min="1" max="2" width="9.1796875" customWidth="1"/>
    <col min="3" max="3" width="37.1796875" bestFit="1" customWidth="1"/>
    <col min="4" max="4" width="19.54296875" customWidth="1"/>
    <col min="5" max="5" width="17.1796875" customWidth="1"/>
    <col min="6" max="6" width="18" bestFit="1" customWidth="1"/>
    <col min="7" max="7" width="16.81640625" bestFit="1" customWidth="1"/>
    <col min="8" max="8" width="10.81640625" customWidth="1"/>
    <col min="9" max="9" width="9.1796875" customWidth="1"/>
    <col min="10" max="10" width="10.1796875" hidden="1" customWidth="1"/>
    <col min="11" max="11" width="9.1796875" hidden="1" customWidth="1"/>
    <col min="12" max="12" width="9.1796875" customWidth="1"/>
    <col min="13" max="16384" width="9.1796875" hidden="1"/>
  </cols>
  <sheetData>
    <row r="1" spans="1:12" x14ac:dyDescent="0.3"/>
    <row r="2" spans="1:12" ht="18.5" thickBot="1" x14ac:dyDescent="0.45">
      <c r="A2" s="5"/>
      <c r="B2" s="5"/>
      <c r="C2" s="5"/>
      <c r="D2" s="5"/>
      <c r="E2" s="5"/>
      <c r="F2" s="5"/>
      <c r="G2" s="5"/>
      <c r="H2" s="5"/>
      <c r="I2" s="5"/>
      <c r="J2" s="5"/>
      <c r="K2" s="5"/>
      <c r="L2" s="5"/>
    </row>
    <row r="3" spans="1:12" ht="18.5" thickTop="1" x14ac:dyDescent="0.4">
      <c r="A3" s="5"/>
      <c r="B3" s="25"/>
      <c r="C3" s="26"/>
      <c r="D3" s="27"/>
      <c r="E3" s="28"/>
      <c r="F3" s="28"/>
      <c r="G3" s="29"/>
      <c r="H3" s="28"/>
      <c r="I3" s="30"/>
      <c r="J3" s="5"/>
      <c r="K3" s="5"/>
      <c r="L3" s="5"/>
    </row>
    <row r="4" spans="1:12" ht="18" x14ac:dyDescent="0.4">
      <c r="A4" s="5"/>
      <c r="B4" s="31"/>
      <c r="C4" s="67" t="s">
        <v>49</v>
      </c>
      <c r="D4" s="67"/>
      <c r="E4" s="67"/>
      <c r="F4" s="11"/>
      <c r="G4" s="12"/>
      <c r="H4" s="8"/>
      <c r="I4" s="32"/>
      <c r="J4" s="5"/>
      <c r="K4" s="5"/>
      <c r="L4" s="5"/>
    </row>
    <row r="5" spans="1:12" ht="18" x14ac:dyDescent="0.4">
      <c r="A5" s="5"/>
      <c r="B5" s="31"/>
      <c r="C5" s="11"/>
      <c r="D5" s="10"/>
      <c r="E5" s="8"/>
      <c r="F5" s="8"/>
      <c r="G5" s="12"/>
      <c r="H5" s="8"/>
      <c r="I5" s="32"/>
      <c r="J5" s="5"/>
      <c r="K5" s="5"/>
      <c r="L5" s="5"/>
    </row>
    <row r="6" spans="1:12" ht="18.5" thickBot="1" x14ac:dyDescent="0.45">
      <c r="A6" s="5"/>
      <c r="B6" s="33"/>
      <c r="C6" s="23"/>
      <c r="D6" s="23"/>
      <c r="E6" s="24"/>
      <c r="F6" s="59" t="s">
        <v>69</v>
      </c>
      <c r="G6" s="24"/>
      <c r="H6" s="24"/>
      <c r="I6" s="34"/>
      <c r="J6" s="5"/>
      <c r="K6" s="5"/>
      <c r="L6" s="5"/>
    </row>
    <row r="7" spans="1:12" ht="18.5" thickBot="1" x14ac:dyDescent="0.45">
      <c r="B7" s="35"/>
      <c r="C7" s="49" t="s">
        <v>0</v>
      </c>
      <c r="D7" s="43">
        <v>100000</v>
      </c>
      <c r="E7" s="18"/>
      <c r="F7" s="51" t="s">
        <v>21</v>
      </c>
      <c r="G7" s="16"/>
      <c r="H7" s="52">
        <f ca="1">VLOOKUP(H$18,Allowances!A$2:D$100,3,FALSE)</f>
        <v>1000</v>
      </c>
      <c r="I7" s="36"/>
    </row>
    <row r="8" spans="1:12" ht="18.5" thickBot="1" x14ac:dyDescent="0.45">
      <c r="B8" s="35"/>
      <c r="C8" s="49" t="s">
        <v>1</v>
      </c>
      <c r="D8" s="44">
        <v>0.06</v>
      </c>
      <c r="E8" s="18"/>
      <c r="F8" s="51" t="s">
        <v>37</v>
      </c>
      <c r="G8" s="16"/>
      <c r="H8" s="52">
        <f ca="1">VLOOKUP(H$18,Allowances!A$2:D$100,4,FALSE)</f>
        <v>1000</v>
      </c>
      <c r="I8" s="36"/>
    </row>
    <row r="9" spans="1:12" ht="18.5" thickBot="1" x14ac:dyDescent="0.45">
      <c r="B9" s="35"/>
      <c r="C9" s="49" t="s">
        <v>2</v>
      </c>
      <c r="D9" s="20"/>
      <c r="E9" s="16"/>
      <c r="F9" s="51" t="s">
        <v>50</v>
      </c>
      <c r="G9" s="16"/>
      <c r="H9" s="22">
        <f ca="1">VLOOKUP(H$18,Allowances!A$2:D$100,2,FALSE)</f>
        <v>6000</v>
      </c>
      <c r="I9" s="37"/>
    </row>
    <row r="10" spans="1:12" ht="18.5" thickBot="1" x14ac:dyDescent="0.45">
      <c r="B10" s="35"/>
      <c r="C10" s="49" t="s">
        <v>3</v>
      </c>
      <c r="D10" s="45">
        <v>0.02</v>
      </c>
      <c r="E10" s="61"/>
      <c r="F10" s="56" t="s">
        <v>67</v>
      </c>
      <c r="G10" s="16"/>
      <c r="H10" s="16"/>
      <c r="I10" s="37"/>
    </row>
    <row r="11" spans="1:12" ht="18.5" thickBot="1" x14ac:dyDescent="0.45">
      <c r="B11" s="35"/>
      <c r="C11" s="50" t="s">
        <v>7</v>
      </c>
      <c r="D11" s="45">
        <v>0.01</v>
      </c>
      <c r="E11" s="16"/>
      <c r="F11" s="51" t="s">
        <v>21</v>
      </c>
      <c r="G11" s="16"/>
      <c r="H11" s="58">
        <v>0</v>
      </c>
      <c r="I11" s="37"/>
    </row>
    <row r="12" spans="1:12" ht="18.5" thickBot="1" x14ac:dyDescent="0.45">
      <c r="B12" s="35"/>
      <c r="C12" s="50" t="s">
        <v>4</v>
      </c>
      <c r="D12" s="21">
        <f>D8-D10-D11</f>
        <v>2.9999999999999992E-2</v>
      </c>
      <c r="E12" s="16"/>
      <c r="F12" s="51" t="s">
        <v>37</v>
      </c>
      <c r="G12" s="16"/>
      <c r="H12" s="58">
        <v>0</v>
      </c>
      <c r="I12" s="37"/>
    </row>
    <row r="13" spans="1:12" ht="18.5" thickBot="1" x14ac:dyDescent="0.45">
      <c r="B13" s="35"/>
      <c r="C13" s="50" t="s">
        <v>5</v>
      </c>
      <c r="D13" s="46">
        <v>0</v>
      </c>
      <c r="E13" s="16"/>
      <c r="F13" s="51" t="s">
        <v>50</v>
      </c>
      <c r="G13" s="16"/>
      <c r="H13" s="58">
        <v>0</v>
      </c>
      <c r="I13" s="37"/>
      <c r="J13" t="s">
        <v>22</v>
      </c>
      <c r="K13" t="s">
        <v>24</v>
      </c>
    </row>
    <row r="14" spans="1:12" ht="18.5" thickBot="1" x14ac:dyDescent="0.45">
      <c r="B14" s="35"/>
      <c r="C14" s="50" t="s">
        <v>46</v>
      </c>
      <c r="D14" s="47">
        <v>0.2</v>
      </c>
      <c r="E14" s="16"/>
      <c r="F14" s="63" t="s">
        <v>74</v>
      </c>
      <c r="G14" s="49"/>
      <c r="H14" s="60"/>
      <c r="I14" s="37"/>
      <c r="J14">
        <f>IF(H15=0.2,0.0875,0)</f>
        <v>8.7499999999999994E-2</v>
      </c>
      <c r="K14">
        <f>IF(D14=0,0.1,IF(D14=0.2,0.1,IF(D14&gt;0.2,0.2,0)))</f>
        <v>0.1</v>
      </c>
    </row>
    <row r="15" spans="1:12" ht="18.5" thickBot="1" x14ac:dyDescent="0.45">
      <c r="B15" s="35"/>
      <c r="C15" s="50" t="s">
        <v>6</v>
      </c>
      <c r="D15" s="48">
        <v>1</v>
      </c>
      <c r="E15" s="18"/>
      <c r="F15" s="49" t="s">
        <v>8</v>
      </c>
      <c r="G15" s="55"/>
      <c r="H15" s="47">
        <v>0.2</v>
      </c>
      <c r="I15" s="37"/>
      <c r="J15">
        <f>IF(H15=0.4,0.3375,0)</f>
        <v>0</v>
      </c>
      <c r="K15">
        <f>IF(H15=0,0.1,IF(H15=0.2,0.1,IF(D15&gt;0.2,0.2,0)))</f>
        <v>0.1</v>
      </c>
    </row>
    <row r="16" spans="1:12" ht="18.5" thickBot="1" x14ac:dyDescent="0.45">
      <c r="B16" s="35"/>
      <c r="C16" s="16"/>
      <c r="D16" s="16"/>
      <c r="E16" s="16"/>
      <c r="F16" s="51" t="s">
        <v>76</v>
      </c>
      <c r="G16" s="16"/>
      <c r="H16" s="64" t="s">
        <v>25</v>
      </c>
      <c r="I16" s="37"/>
      <c r="J16">
        <f>IF(H15=0.45,0.3935,0)</f>
        <v>0</v>
      </c>
    </row>
    <row r="17" spans="2:12" ht="18" x14ac:dyDescent="0.4">
      <c r="B17" s="35"/>
      <c r="C17" s="16"/>
      <c r="D17" s="16"/>
      <c r="E17" s="16"/>
      <c r="F17" s="16"/>
      <c r="G17" s="16"/>
      <c r="H17" s="16"/>
      <c r="I17" s="37"/>
      <c r="L17" s="9"/>
    </row>
    <row r="18" spans="2:12" ht="18" x14ac:dyDescent="0.4">
      <c r="B18" s="38"/>
      <c r="C18" s="17"/>
      <c r="D18" s="6"/>
      <c r="E18" s="17" t="s">
        <v>53</v>
      </c>
      <c r="F18" s="69">
        <f ca="1">TODAY()</f>
        <v>45205</v>
      </c>
      <c r="G18" s="69"/>
      <c r="H18" s="53">
        <f ca="1">IF(MONTH(F18)&lt;4,YEAR(F18),YEAR(F18)+1)</f>
        <v>2024</v>
      </c>
      <c r="I18" s="39"/>
      <c r="J18">
        <f>MAX(J14:J16)</f>
        <v>8.7499999999999994E-2</v>
      </c>
    </row>
    <row r="19" spans="2:12" ht="18" x14ac:dyDescent="0.4">
      <c r="B19" s="38"/>
      <c r="C19" s="13"/>
      <c r="D19" s="6"/>
      <c r="E19" s="6"/>
      <c r="F19" s="6"/>
      <c r="G19" s="6"/>
      <c r="H19" s="6"/>
      <c r="I19" s="39"/>
      <c r="L19" s="9"/>
    </row>
    <row r="20" spans="2:12" ht="18.5" thickBot="1" x14ac:dyDescent="0.45">
      <c r="B20" s="35"/>
      <c r="C20" s="16"/>
      <c r="D20" s="16"/>
      <c r="E20" s="19" t="s">
        <v>11</v>
      </c>
      <c r="F20" s="19" t="s">
        <v>12</v>
      </c>
      <c r="G20" s="19" t="s">
        <v>13</v>
      </c>
      <c r="H20" s="16"/>
      <c r="I20" s="37"/>
    </row>
    <row r="21" spans="2:12" ht="18.5" thickBot="1" x14ac:dyDescent="0.45">
      <c r="B21" s="35"/>
      <c r="C21" s="51" t="s">
        <v>48</v>
      </c>
      <c r="D21" s="16"/>
      <c r="E21" s="22">
        <f>Sheet2!Y52</f>
        <v>0</v>
      </c>
      <c r="F21" s="22">
        <f>Sheet2!Y52</f>
        <v>0</v>
      </c>
      <c r="G21" s="22">
        <f>Sheet2!Y52</f>
        <v>0</v>
      </c>
      <c r="H21" s="16"/>
      <c r="I21" s="37"/>
    </row>
    <row r="22" spans="2:12" ht="18.5" thickBot="1" x14ac:dyDescent="0.45">
      <c r="B22" s="35"/>
      <c r="C22" s="51" t="s">
        <v>43</v>
      </c>
      <c r="D22" s="16"/>
      <c r="E22" s="22">
        <v>0</v>
      </c>
      <c r="F22" s="22">
        <v>0</v>
      </c>
      <c r="G22" s="22">
        <f>Sheet2!X52+Sheet2!W52</f>
        <v>600</v>
      </c>
      <c r="H22" s="16"/>
      <c r="I22" s="37"/>
    </row>
    <row r="23" spans="2:12" ht="18.5" thickBot="1" x14ac:dyDescent="0.45">
      <c r="B23" s="35"/>
      <c r="C23" s="51" t="s">
        <v>9</v>
      </c>
      <c r="D23" s="16"/>
      <c r="E23" s="22">
        <f ca="1">Sheet2!H52+Sheet2!I52+Sheet2!K52</f>
        <v>218.74999999999991</v>
      </c>
      <c r="F23" s="22">
        <v>0</v>
      </c>
      <c r="G23" s="22">
        <v>0</v>
      </c>
      <c r="H23" s="16"/>
      <c r="I23" s="37"/>
    </row>
    <row r="24" spans="2:12" ht="18.5" thickBot="1" x14ac:dyDescent="0.45">
      <c r="B24" s="35"/>
      <c r="C24" s="51" t="s">
        <v>10</v>
      </c>
      <c r="D24" s="16"/>
      <c r="E24" s="22">
        <f ca="1">E22+E23</f>
        <v>218.74999999999991</v>
      </c>
      <c r="F24" s="22">
        <f>F22+F23</f>
        <v>0</v>
      </c>
      <c r="G24" s="22">
        <f>G22+G23</f>
        <v>600</v>
      </c>
      <c r="H24" s="16"/>
      <c r="I24" s="37"/>
    </row>
    <row r="25" spans="2:12" ht="18.5" thickBot="1" x14ac:dyDescent="0.45">
      <c r="B25" s="35"/>
      <c r="C25" s="51" t="s">
        <v>47</v>
      </c>
      <c r="D25" s="16"/>
      <c r="E25" s="22">
        <f ca="1">VLOOKUP($D15,Sheet2!B1:M51,12,FALSE)</f>
        <v>105781.25</v>
      </c>
      <c r="F25" s="22">
        <f>VLOOKUP(D15,Sheet2!B:S,17,FALSE)</f>
        <v>106000</v>
      </c>
      <c r="G25" s="22">
        <f>VLOOKUP(D15,Sheet2!B:S,18,FALSE)</f>
        <v>105400</v>
      </c>
      <c r="H25" s="16"/>
      <c r="I25" s="37"/>
    </row>
    <row r="26" spans="2:12" ht="18.5" thickBot="1" x14ac:dyDescent="0.45">
      <c r="B26" s="35"/>
      <c r="C26" s="51" t="s">
        <v>44</v>
      </c>
      <c r="D26" s="16"/>
      <c r="E26" s="22">
        <f ca="1">IF(((Sheet2!L52-Sheet2!Q52)*K14)&gt;0,(ROUNDDOWN((Sheet2!L52-Sheet2!Q52)*K14,0)),0)</f>
        <v>0</v>
      </c>
      <c r="F26" s="22">
        <f>IF(D14=0,IF(F25+Sheet2!Y52-D7&lt;(Allowances!E7+Allowances!F2+Sheet2!N52),((F25+Sheet2!Y52)-D7)*D14,ROUNDDOWN((F25+Sheet2!Y52-D7-(Allowances!E7+Allowances!F2+Sheet2!N52))*0.2,0)),ROUNDDOWN((F25+Sheet2!Y52-D7)*D14,0))</f>
        <v>1200</v>
      </c>
      <c r="G26" s="22">
        <f>IF(D14=0,0,IF(D14=0.2,0,IF(D14=0.4,(ROUNDDOWN((G25+Sheet2!Y52-D7)*0.2,0)),IF(D14=0.45,(ROUNDDOWN((G25+Sheet2!Y52-D7)*0.25,0)),0))))</f>
        <v>0</v>
      </c>
      <c r="H26" s="16"/>
      <c r="I26" s="37"/>
      <c r="L26" s="7"/>
    </row>
    <row r="27" spans="2:12" ht="18.5" thickBot="1" x14ac:dyDescent="0.45">
      <c r="B27" s="35"/>
      <c r="C27" s="51" t="s">
        <v>45</v>
      </c>
      <c r="D27" s="16"/>
      <c r="E27" s="22">
        <f ca="1">E25-E26</f>
        <v>105781.25</v>
      </c>
      <c r="F27" s="22">
        <f>F25-F26</f>
        <v>104800</v>
      </c>
      <c r="G27" s="22">
        <f>G25-G26</f>
        <v>105400</v>
      </c>
      <c r="H27" s="16"/>
      <c r="I27" s="37"/>
    </row>
    <row r="28" spans="2:12" x14ac:dyDescent="0.3">
      <c r="B28" s="35"/>
      <c r="C28" s="14"/>
      <c r="D28" s="14"/>
      <c r="E28" s="14"/>
      <c r="F28" s="14"/>
      <c r="G28" s="14"/>
      <c r="H28" s="14"/>
      <c r="I28" s="37"/>
    </row>
    <row r="29" spans="2:12" x14ac:dyDescent="0.3">
      <c r="B29" s="35"/>
      <c r="C29" s="14"/>
      <c r="D29" s="14"/>
      <c r="E29" s="14"/>
      <c r="F29" s="14"/>
      <c r="G29" s="14"/>
      <c r="H29" s="14"/>
      <c r="I29" s="37"/>
      <c r="L29" s="9"/>
    </row>
    <row r="30" spans="2:12" x14ac:dyDescent="0.3">
      <c r="B30" s="35"/>
      <c r="C30" s="14"/>
      <c r="D30" s="14"/>
      <c r="E30" s="14"/>
      <c r="F30" s="14"/>
      <c r="G30" s="14"/>
      <c r="H30" s="14"/>
      <c r="I30" s="37"/>
      <c r="L30" s="9"/>
    </row>
    <row r="31" spans="2:12" ht="14.5" thickBot="1" x14ac:dyDescent="0.35">
      <c r="B31" s="40"/>
      <c r="C31" s="41"/>
      <c r="D31" s="41"/>
      <c r="E31" s="41"/>
      <c r="F31" s="41"/>
      <c r="G31" s="41"/>
      <c r="H31" s="41"/>
      <c r="I31" s="42"/>
    </row>
    <row r="32" spans="2:12" ht="14.5" thickTop="1" x14ac:dyDescent="0.3">
      <c r="C32" s="3"/>
      <c r="D32" s="3"/>
      <c r="E32" s="3"/>
      <c r="F32" s="3"/>
      <c r="G32" s="3"/>
      <c r="H32" s="3"/>
    </row>
    <row r="33" spans="2:9" x14ac:dyDescent="0.3">
      <c r="C33" s="3"/>
      <c r="D33" s="3"/>
      <c r="E33" s="3"/>
      <c r="F33" s="3"/>
      <c r="G33" s="3"/>
      <c r="H33" s="3"/>
    </row>
    <row r="34" spans="2:9" ht="79" customHeight="1" x14ac:dyDescent="0.3">
      <c r="B34" s="68" t="s">
        <v>77</v>
      </c>
      <c r="C34" s="68"/>
      <c r="D34" s="68"/>
      <c r="E34" s="68"/>
      <c r="F34" s="68"/>
      <c r="G34" s="68"/>
      <c r="H34" s="68"/>
      <c r="I34" s="68"/>
    </row>
    <row r="35" spans="2:9" ht="57" customHeight="1" x14ac:dyDescent="0.3">
      <c r="B35" s="65" t="s">
        <v>57</v>
      </c>
      <c r="C35" s="65"/>
      <c r="D35" s="65"/>
      <c r="E35" s="65"/>
      <c r="F35" s="65"/>
      <c r="G35" s="65"/>
      <c r="H35" s="65"/>
      <c r="I35" s="65"/>
    </row>
    <row r="36" spans="2:9" ht="46.5" customHeight="1" x14ac:dyDescent="0.3">
      <c r="B36" s="65" t="s">
        <v>78</v>
      </c>
      <c r="C36" s="65"/>
      <c r="D36" s="65"/>
      <c r="E36" s="65"/>
      <c r="F36" s="65"/>
      <c r="G36" s="65"/>
      <c r="H36" s="65"/>
      <c r="I36" s="65"/>
    </row>
    <row r="37" spans="2:9" ht="46.5" customHeight="1" x14ac:dyDescent="0.3">
      <c r="B37" s="68" t="s">
        <v>79</v>
      </c>
      <c r="C37" s="68"/>
      <c r="D37" s="68"/>
      <c r="E37" s="68"/>
      <c r="F37" s="68"/>
      <c r="G37" s="68"/>
      <c r="H37" s="68"/>
      <c r="I37" s="68"/>
    </row>
    <row r="38" spans="2:9" ht="32.25" customHeight="1" x14ac:dyDescent="0.3">
      <c r="B38" s="65" t="s">
        <v>80</v>
      </c>
      <c r="C38" s="65"/>
      <c r="D38" s="65"/>
      <c r="E38" s="65"/>
      <c r="F38" s="65"/>
      <c r="G38" s="65"/>
      <c r="H38" s="65"/>
      <c r="I38" s="65"/>
    </row>
    <row r="39" spans="2:9" ht="67.5" customHeight="1" x14ac:dyDescent="0.3">
      <c r="B39" s="65" t="s">
        <v>81</v>
      </c>
      <c r="C39" s="65"/>
      <c r="D39" s="65"/>
      <c r="E39" s="65"/>
      <c r="F39" s="65"/>
      <c r="G39" s="65"/>
      <c r="H39" s="65"/>
      <c r="I39" s="65"/>
    </row>
    <row r="40" spans="2:9" ht="60.75" customHeight="1" x14ac:dyDescent="0.3">
      <c r="B40" s="66" t="s">
        <v>82</v>
      </c>
      <c r="C40" s="66"/>
      <c r="D40" s="66"/>
      <c r="E40" s="66"/>
      <c r="F40" s="66"/>
      <c r="G40" s="66"/>
      <c r="H40" s="66"/>
      <c r="I40" s="66"/>
    </row>
    <row r="41" spans="2:9" ht="32.25" customHeight="1" x14ac:dyDescent="0.3">
      <c r="B41" s="66" t="s">
        <v>83</v>
      </c>
      <c r="C41" s="66"/>
      <c r="D41" s="66"/>
      <c r="E41" s="66"/>
      <c r="F41" s="66"/>
      <c r="G41" s="66"/>
      <c r="H41" s="66"/>
      <c r="I41" s="66"/>
    </row>
    <row r="42" spans="2:9" ht="48.75" customHeight="1" x14ac:dyDescent="0.3">
      <c r="B42" s="66" t="s">
        <v>84</v>
      </c>
      <c r="C42" s="66"/>
      <c r="D42" s="66"/>
      <c r="E42" s="66"/>
      <c r="F42" s="66"/>
      <c r="G42" s="66"/>
      <c r="H42" s="66"/>
      <c r="I42" s="66"/>
    </row>
    <row r="49" spans="4:6" x14ac:dyDescent="0.3"/>
    <row r="60" spans="4:6" hidden="1" x14ac:dyDescent="0.3">
      <c r="D60">
        <v>1</v>
      </c>
      <c r="F60" s="4">
        <v>0</v>
      </c>
    </row>
    <row r="61" spans="4:6" hidden="1" x14ac:dyDescent="0.3">
      <c r="D61">
        <v>2</v>
      </c>
      <c r="F61" s="4">
        <v>2.5000000000000001E-3</v>
      </c>
    </row>
    <row r="62" spans="4:6" hidden="1" x14ac:dyDescent="0.3">
      <c r="D62">
        <v>3</v>
      </c>
      <c r="F62" s="4">
        <v>5.0000000000000001E-3</v>
      </c>
    </row>
    <row r="63" spans="4:6" hidden="1" x14ac:dyDescent="0.3">
      <c r="D63">
        <v>4</v>
      </c>
      <c r="F63" s="4">
        <v>7.4999999999999997E-3</v>
      </c>
    </row>
    <row r="64" spans="4:6" hidden="1" x14ac:dyDescent="0.3">
      <c r="D64">
        <v>5</v>
      </c>
      <c r="F64" s="4">
        <v>0.01</v>
      </c>
    </row>
    <row r="65" spans="4:6" hidden="1" x14ac:dyDescent="0.3">
      <c r="D65">
        <v>6</v>
      </c>
      <c r="F65" s="4">
        <v>1.2500000000000001E-2</v>
      </c>
    </row>
    <row r="66" spans="4:6" hidden="1" x14ac:dyDescent="0.3">
      <c r="D66">
        <v>7</v>
      </c>
      <c r="F66" s="4">
        <v>1.4999999999999999E-2</v>
      </c>
    </row>
    <row r="67" spans="4:6" hidden="1" x14ac:dyDescent="0.3">
      <c r="D67">
        <v>8</v>
      </c>
      <c r="F67" s="4">
        <v>1.7500000000000002E-2</v>
      </c>
    </row>
    <row r="68" spans="4:6" hidden="1" x14ac:dyDescent="0.3">
      <c r="D68">
        <v>9</v>
      </c>
      <c r="F68" s="4">
        <v>0.02</v>
      </c>
    </row>
    <row r="69" spans="4:6" hidden="1" x14ac:dyDescent="0.3">
      <c r="D69">
        <v>10</v>
      </c>
      <c r="F69" s="4">
        <v>2.2499999999999999E-2</v>
      </c>
    </row>
    <row r="70" spans="4:6" hidden="1" x14ac:dyDescent="0.3">
      <c r="D70">
        <v>11</v>
      </c>
      <c r="F70" s="4">
        <v>2.5000000000000001E-2</v>
      </c>
    </row>
    <row r="71" spans="4:6" hidden="1" x14ac:dyDescent="0.3">
      <c r="D71">
        <v>12</v>
      </c>
      <c r="F71" s="4">
        <v>2.75E-2</v>
      </c>
    </row>
    <row r="72" spans="4:6" hidden="1" x14ac:dyDescent="0.3">
      <c r="D72">
        <v>13</v>
      </c>
      <c r="F72" s="4">
        <v>0.03</v>
      </c>
    </row>
    <row r="73" spans="4:6" hidden="1" x14ac:dyDescent="0.3">
      <c r="D73">
        <v>14</v>
      </c>
      <c r="F73" s="4">
        <v>3.2500000000000001E-2</v>
      </c>
    </row>
    <row r="74" spans="4:6" hidden="1" x14ac:dyDescent="0.3">
      <c r="D74">
        <v>15</v>
      </c>
      <c r="F74" s="4">
        <v>3.5000000000000003E-2</v>
      </c>
    </row>
    <row r="75" spans="4:6" hidden="1" x14ac:dyDescent="0.3">
      <c r="D75">
        <v>16</v>
      </c>
      <c r="F75" s="4">
        <v>3.7499999999999999E-2</v>
      </c>
    </row>
    <row r="76" spans="4:6" hidden="1" x14ac:dyDescent="0.3">
      <c r="D76">
        <v>17</v>
      </c>
      <c r="F76" s="4">
        <v>0.04</v>
      </c>
    </row>
    <row r="77" spans="4:6" hidden="1" x14ac:dyDescent="0.3">
      <c r="D77">
        <v>18</v>
      </c>
      <c r="F77" s="4">
        <v>4.2500000000000003E-2</v>
      </c>
    </row>
    <row r="78" spans="4:6" hidden="1" x14ac:dyDescent="0.3">
      <c r="D78">
        <v>19</v>
      </c>
      <c r="F78" s="4">
        <v>4.4999999999999998E-2</v>
      </c>
    </row>
    <row r="79" spans="4:6" hidden="1" x14ac:dyDescent="0.3">
      <c r="D79">
        <v>20</v>
      </c>
      <c r="F79" s="4">
        <v>4.7500000000000001E-2</v>
      </c>
    </row>
    <row r="80" spans="4:6" hidden="1" x14ac:dyDescent="0.3">
      <c r="D80">
        <v>21</v>
      </c>
      <c r="F80" s="4">
        <v>0.05</v>
      </c>
    </row>
    <row r="81" spans="4:6" hidden="1" x14ac:dyDescent="0.3">
      <c r="D81">
        <v>22</v>
      </c>
      <c r="F81" s="4"/>
    </row>
    <row r="82" spans="4:6" hidden="1" x14ac:dyDescent="0.3">
      <c r="D82">
        <v>23</v>
      </c>
      <c r="F82" s="4"/>
    </row>
    <row r="83" spans="4:6" hidden="1" x14ac:dyDescent="0.3">
      <c r="D83">
        <v>24</v>
      </c>
      <c r="F83" s="4"/>
    </row>
    <row r="84" spans="4:6" hidden="1" x14ac:dyDescent="0.3">
      <c r="D84">
        <v>25</v>
      </c>
    </row>
    <row r="85" spans="4:6" hidden="1" x14ac:dyDescent="0.3">
      <c r="D85">
        <v>26</v>
      </c>
    </row>
    <row r="86" spans="4:6" hidden="1" x14ac:dyDescent="0.3">
      <c r="D86">
        <v>27</v>
      </c>
    </row>
    <row r="87" spans="4:6" hidden="1" x14ac:dyDescent="0.3">
      <c r="D87">
        <v>28</v>
      </c>
    </row>
    <row r="88" spans="4:6" hidden="1" x14ac:dyDescent="0.3">
      <c r="D88">
        <v>29</v>
      </c>
    </row>
    <row r="89" spans="4:6" hidden="1" x14ac:dyDescent="0.3">
      <c r="D89">
        <v>30</v>
      </c>
    </row>
    <row r="90" spans="4:6" hidden="1" x14ac:dyDescent="0.3">
      <c r="D90">
        <v>31</v>
      </c>
    </row>
    <row r="91" spans="4:6" hidden="1" x14ac:dyDescent="0.3">
      <c r="D91">
        <v>32</v>
      </c>
    </row>
    <row r="92" spans="4:6" hidden="1" x14ac:dyDescent="0.3">
      <c r="D92">
        <v>33</v>
      </c>
    </row>
    <row r="93" spans="4:6" hidden="1" x14ac:dyDescent="0.3">
      <c r="D93">
        <v>34</v>
      </c>
    </row>
    <row r="94" spans="4:6" hidden="1" x14ac:dyDescent="0.3">
      <c r="D94">
        <v>35</v>
      </c>
    </row>
    <row r="95" spans="4:6" hidden="1" x14ac:dyDescent="0.3">
      <c r="D95">
        <v>36</v>
      </c>
    </row>
    <row r="96" spans="4:6" hidden="1" x14ac:dyDescent="0.3">
      <c r="D96">
        <v>37</v>
      </c>
    </row>
    <row r="97" spans="4:4" hidden="1" x14ac:dyDescent="0.3">
      <c r="D97">
        <v>38</v>
      </c>
    </row>
    <row r="98" spans="4:4" hidden="1" x14ac:dyDescent="0.3">
      <c r="D98">
        <v>39</v>
      </c>
    </row>
    <row r="99" spans="4:4" hidden="1" x14ac:dyDescent="0.3">
      <c r="D99">
        <v>40</v>
      </c>
    </row>
    <row r="100" spans="4:4" hidden="1" x14ac:dyDescent="0.3">
      <c r="D100">
        <v>41</v>
      </c>
    </row>
    <row r="101" spans="4:4" hidden="1" x14ac:dyDescent="0.3">
      <c r="D101">
        <v>42</v>
      </c>
    </row>
    <row r="102" spans="4:4" hidden="1" x14ac:dyDescent="0.3">
      <c r="D102">
        <v>43</v>
      </c>
    </row>
    <row r="103" spans="4:4" hidden="1" x14ac:dyDescent="0.3">
      <c r="D103">
        <v>44</v>
      </c>
    </row>
    <row r="104" spans="4:4" hidden="1" x14ac:dyDescent="0.3">
      <c r="D104">
        <v>45</v>
      </c>
    </row>
    <row r="105" spans="4:4" hidden="1" x14ac:dyDescent="0.3">
      <c r="D105">
        <v>46</v>
      </c>
    </row>
    <row r="106" spans="4:4" hidden="1" x14ac:dyDescent="0.3">
      <c r="D106">
        <v>47</v>
      </c>
    </row>
    <row r="107" spans="4:4" hidden="1" x14ac:dyDescent="0.3">
      <c r="D107">
        <v>48</v>
      </c>
    </row>
    <row r="108" spans="4:4" hidden="1" x14ac:dyDescent="0.3">
      <c r="D108">
        <v>49</v>
      </c>
    </row>
    <row r="109" spans="4:4" hidden="1" x14ac:dyDescent="0.3">
      <c r="D109">
        <v>50</v>
      </c>
    </row>
    <row r="110" spans="4:4" hidden="1" x14ac:dyDescent="0.3">
      <c r="D110" t="s">
        <v>25</v>
      </c>
    </row>
    <row r="111" spans="4:4" hidden="1" x14ac:dyDescent="0.3">
      <c r="D111" t="s">
        <v>26</v>
      </c>
    </row>
    <row r="145" spans="4:4" x14ac:dyDescent="0.3"/>
    <row r="150" spans="4:4" hidden="1" x14ac:dyDescent="0.3">
      <c r="D150" s="2">
        <v>0</v>
      </c>
    </row>
    <row r="151" spans="4:4" hidden="1" x14ac:dyDescent="0.3">
      <c r="D151" s="2">
        <v>0.2</v>
      </c>
    </row>
    <row r="152" spans="4:4" hidden="1" x14ac:dyDescent="0.3">
      <c r="D152" s="2">
        <v>0.4</v>
      </c>
    </row>
    <row r="153" spans="4:4" hidden="1" x14ac:dyDescent="0.3">
      <c r="D153" s="2">
        <v>0.45</v>
      </c>
    </row>
  </sheetData>
  <sheetProtection algorithmName="SHA-512" hashValue="vqJd7ToRFNFTxKzngT7TNP04HrKZg1ErjtfgyQOFFBHsQNT687L5q/whRKLaR21iQnhdwkoJjNm9NazZMhM5CA==" saltValue="pFr2Yv0ib2pfARXfdlEZtg==" spinCount="100000" sheet="1" formatRows="0" selectLockedCells="1"/>
  <mergeCells count="11">
    <mergeCell ref="B38:I38"/>
    <mergeCell ref="B39:I39"/>
    <mergeCell ref="B40:I40"/>
    <mergeCell ref="B42:I42"/>
    <mergeCell ref="C4:E4"/>
    <mergeCell ref="B34:I34"/>
    <mergeCell ref="B35:I35"/>
    <mergeCell ref="B37:I37"/>
    <mergeCell ref="F18:G18"/>
    <mergeCell ref="B41:I41"/>
    <mergeCell ref="B36:I36"/>
  </mergeCells>
  <dataValidations count="8">
    <dataValidation type="list" allowBlank="1" showInputMessage="1" showErrorMessage="1" sqref="D14 H15" xr:uid="{00000000-0002-0000-0000-000000000000}">
      <formula1>$D$150:$D$153</formula1>
    </dataValidation>
    <dataValidation type="decimal" operator="lessThanOrEqual" allowBlank="1" showInputMessage="1" showErrorMessage="1" sqref="D10" xr:uid="{00000000-0002-0000-0000-000001000000}">
      <formula1>D8</formula1>
    </dataValidation>
    <dataValidation type="decimal" operator="lessThanOrEqual" allowBlank="1" showInputMessage="1" showErrorMessage="1" sqref="D11" xr:uid="{00000000-0002-0000-0000-000002000000}">
      <formula1>D8-D10</formula1>
    </dataValidation>
    <dataValidation type="list" allowBlank="1" showInputMessage="1" showErrorMessage="1" sqref="D15" xr:uid="{00000000-0002-0000-0000-000003000000}">
      <formula1>$D$60:$D$79</formula1>
    </dataValidation>
    <dataValidation type="list" allowBlank="1" showInputMessage="1" showErrorMessage="1" sqref="D13" xr:uid="{00000000-0002-0000-0000-000005000000}">
      <formula1>$F$60:$F$80</formula1>
    </dataValidation>
    <dataValidation type="decimal" allowBlank="1" showErrorMessage="1" errorTitle="Invalid data item" error="Please enter a % return between 0% and 7%" promptTitle="Enter a % return net of charges" prompt="A value of 0% to 7% can be entered" sqref="D8" xr:uid="{0DBB6CDB-7BB6-4520-938B-6134B18BBCD7}">
      <formula1>0</formula1>
      <formula2>0.07</formula2>
    </dataValidation>
    <dataValidation type="list" allowBlank="1" showInputMessage="1" showErrorMessage="1" sqref="H11:H13" xr:uid="{310A22A9-6385-41DA-99FD-2409D3C2262D}">
      <formula1>Allowance_used</formula1>
    </dataValidation>
    <dataValidation type="list" allowBlank="1" showInputMessage="1" showErrorMessage="1" sqref="H16" xr:uid="{E848D227-BF1F-49E2-B2ED-2966A09DE042}">
      <formula1>CGT_Y_N</formula1>
    </dataValidation>
  </dataValidations>
  <pageMargins left="0.7" right="0.7" top="0.75" bottom="0.75" header="0.3" footer="0.3"/>
  <pageSetup scale="59" orientation="portrait" r:id="rId1"/>
  <headerFooter>
    <oddFooter>&amp;C&amp;"Calibri"&amp;11&amp;K000000&amp;"Arial,Regular"&amp;10&amp;K000000</oddFooter>
    <evenFooter>&amp;C&amp;"Arial,Regular"&amp;10&amp;K000000INTERNAL USE ONLY</evenFooter>
    <firstFooter>&amp;C&amp;"Arial,Regular"&amp;10&amp;K000000INTERNAL USE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F27D5-4911-4506-96FA-5F4AC68C42AE}">
  <dimension ref="A1:D4"/>
  <sheetViews>
    <sheetView workbookViewId="0">
      <selection activeCell="B5" sqref="B5"/>
    </sheetView>
  </sheetViews>
  <sheetFormatPr defaultRowHeight="14" x14ac:dyDescent="0.3"/>
  <cols>
    <col min="1" max="1" width="25.1796875" bestFit="1" customWidth="1"/>
    <col min="4" max="4" width="89.1796875" bestFit="1" customWidth="1"/>
  </cols>
  <sheetData>
    <row r="1" spans="1:4" x14ac:dyDescent="0.3">
      <c r="B1" t="s">
        <v>62</v>
      </c>
      <c r="C1" t="s">
        <v>63</v>
      </c>
      <c r="D1" t="s">
        <v>64</v>
      </c>
    </row>
    <row r="2" spans="1:4" x14ac:dyDescent="0.3">
      <c r="A2" t="s">
        <v>58</v>
      </c>
      <c r="B2" s="54">
        <v>44805</v>
      </c>
      <c r="C2" t="s">
        <v>59</v>
      </c>
    </row>
    <row r="3" spans="1:4" x14ac:dyDescent="0.3">
      <c r="A3" t="s">
        <v>61</v>
      </c>
      <c r="B3" s="54">
        <v>44986</v>
      </c>
      <c r="C3" t="s">
        <v>60</v>
      </c>
      <c r="D3" t="s">
        <v>73</v>
      </c>
    </row>
    <row r="4" spans="1:4" x14ac:dyDescent="0.3">
      <c r="A4" t="s">
        <v>66</v>
      </c>
      <c r="B4" s="54">
        <v>45200</v>
      </c>
      <c r="C4" t="s">
        <v>65</v>
      </c>
      <c r="D4" t="s">
        <v>85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52"/>
  <sheetViews>
    <sheetView zoomScaleNormal="100" workbookViewId="0">
      <selection activeCell="A6" sqref="A6"/>
    </sheetView>
  </sheetViews>
  <sheetFormatPr defaultRowHeight="14" x14ac:dyDescent="0.3"/>
  <cols>
    <col min="3" max="3" width="28.453125" style="1" bestFit="1" customWidth="1"/>
    <col min="4" max="4" width="15" style="1" customWidth="1"/>
    <col min="5" max="5" width="15" style="1" bestFit="1" customWidth="1"/>
    <col min="6" max="7" width="18.26953125" customWidth="1"/>
    <col min="8" max="8" width="15.81640625" bestFit="1" customWidth="1"/>
    <col min="9" max="9" width="15.81640625" customWidth="1"/>
    <col min="10" max="11" width="15" style="1" customWidth="1"/>
    <col min="12" max="12" width="16.54296875" style="1" customWidth="1"/>
    <col min="13" max="13" width="15.81640625" customWidth="1"/>
    <col min="14" max="14" width="24.453125" bestFit="1" customWidth="1"/>
    <col min="15" max="15" width="17.7265625" bestFit="1" customWidth="1"/>
    <col min="16" max="17" width="15.81640625" customWidth="1"/>
    <col min="18" max="18" width="19" style="1" bestFit="1" customWidth="1"/>
    <col min="19" max="19" width="18.54296875" style="1" bestFit="1" customWidth="1"/>
    <col min="20" max="20" width="16.54296875" customWidth="1"/>
    <col min="21" max="21" width="17.453125" bestFit="1" customWidth="1"/>
    <col min="22" max="23" width="17.453125" customWidth="1"/>
    <col min="24" max="24" width="19.453125" bestFit="1" customWidth="1"/>
    <col min="25" max="25" width="11.54296875" bestFit="1" customWidth="1"/>
    <col min="26" max="26" width="14.7265625" bestFit="1" customWidth="1"/>
  </cols>
  <sheetData>
    <row r="1" spans="1:26" x14ac:dyDescent="0.3">
      <c r="C1" s="1" t="s">
        <v>40</v>
      </c>
      <c r="D1" s="1" t="s">
        <v>36</v>
      </c>
      <c r="E1" s="1" t="s">
        <v>38</v>
      </c>
      <c r="F1" t="s">
        <v>16</v>
      </c>
      <c r="G1" t="s">
        <v>19</v>
      </c>
      <c r="H1" t="s">
        <v>27</v>
      </c>
      <c r="I1" t="s">
        <v>28</v>
      </c>
      <c r="J1" s="1" t="s">
        <v>34</v>
      </c>
      <c r="K1" s="1" t="s">
        <v>35</v>
      </c>
      <c r="L1" s="1" t="s">
        <v>42</v>
      </c>
      <c r="M1" t="s">
        <v>39</v>
      </c>
      <c r="N1" t="s">
        <v>33</v>
      </c>
      <c r="O1" t="s">
        <v>21</v>
      </c>
      <c r="P1" t="s">
        <v>23</v>
      </c>
      <c r="Q1" t="s">
        <v>41</v>
      </c>
      <c r="R1" s="1" t="s">
        <v>17</v>
      </c>
      <c r="S1" s="1" t="s">
        <v>18</v>
      </c>
      <c r="T1" t="s">
        <v>15</v>
      </c>
      <c r="U1" t="s">
        <v>20</v>
      </c>
      <c r="V1" t="s">
        <v>30</v>
      </c>
      <c r="W1" t="s">
        <v>29</v>
      </c>
      <c r="X1" t="s">
        <v>32</v>
      </c>
      <c r="Y1" t="s">
        <v>31</v>
      </c>
      <c r="Z1" t="s">
        <v>54</v>
      </c>
    </row>
    <row r="2" spans="1:26" x14ac:dyDescent="0.3">
      <c r="A2" t="s">
        <v>14</v>
      </c>
      <c r="B2">
        <v>1</v>
      </c>
      <c r="C2" s="1">
        <f>Input!D7</f>
        <v>100000</v>
      </c>
      <c r="D2" s="15">
        <f>Input!D7</f>
        <v>100000</v>
      </c>
      <c r="E2" s="1">
        <f>IF(B2&gt;Input!D15,0,MAX(0,Input!D7*Input!D10))</f>
        <v>2000</v>
      </c>
      <c r="F2" s="1">
        <f>C2*Input!D11</f>
        <v>1000</v>
      </c>
      <c r="G2" s="1">
        <f>C2*Input!D12</f>
        <v>2999.9999999999991</v>
      </c>
      <c r="H2" s="1">
        <f ca="1">IF((F2-N2)*Input!H$15&lt;0,0,(F2-N2)*Input!H$15)</f>
        <v>0</v>
      </c>
      <c r="I2" s="1">
        <f ca="1">IF(G2-O2&lt;=0,0,(G2-O2)*Input!J$18)</f>
        <v>218.74999999999991</v>
      </c>
      <c r="J2" s="1">
        <f>MAX(IFERROR(IF(B2&gt;Input!D$15,0,Y2-(Y2*((D2+F2+G2)/(C2+(C2*Input!D$8))))),0),0)</f>
        <v>0</v>
      </c>
      <c r="K2" s="15">
        <f ca="1">MAX(0,(J2-P2)*Input!K$15)</f>
        <v>0</v>
      </c>
      <c r="L2" s="1">
        <f ca="1">M2-(D2+(F2-H2)+(G2-I2)-(Y2-J2)-IFERROR(K2-(K2*(J2/Y2)),0))</f>
        <v>2000</v>
      </c>
      <c r="M2" s="1">
        <f ca="1">SUM(C2,E2:G2)-SUM(H2:I2,K2)-Y2</f>
        <v>105781.25</v>
      </c>
      <c r="N2" s="57">
        <f ca="1">IF(C2=0,0,SUM(IF(Input!H$15=0.2,VLOOKUP(Z2,Allowances!A:D,4,FALSE)-(VLOOKUP(Z2,Allowances!A:D,4,FALSE)*Input!H$12),IF(Input!H$15=0.4,VLOOKUP(Z2,Allowances!A:D,4,FALSE)/2-((VLOOKUP(Z2,Allowances!A:D,4,FALSE)*Input!H$12)/2),IF(Input!H$15=0.45,0,IF(Input!H$15=0,VLOOKUP(Z2,Allowances!A:D,4,FALSE)-(VLOOKUP(Z2,Allowances!A:D,4,FALSE)*Input!H$12),0))))))</f>
        <v>1000</v>
      </c>
      <c r="O2" s="57">
        <f ca="1">IF(C2=0,0,VLOOKUP(Z2,Allowances!A:D,3,FALSE)-VLOOKUP(Z2,Allowances!A:D,3,FALSE)*Input!H$11)</f>
        <v>500</v>
      </c>
      <c r="P2" s="57">
        <f ca="1">IF(B2&gt;Input!D$15,0,VLOOKUP(Z2,Allowances!A:D,2,FALSE)-(VLOOKUP(Z2,Allowances!A:D,2,FALSE)*Input!H$13))</f>
        <v>3000</v>
      </c>
      <c r="Q2" s="1">
        <f ca="1">IFERROR(IF(P2-J2&lt;0,0,P2-J2),0)</f>
        <v>3000</v>
      </c>
      <c r="R2" s="1">
        <f>Input!D7+(Input!D7*Input!D8)-Y2</f>
        <v>106000</v>
      </c>
      <c r="S2" s="1">
        <f>R2-(X2+W2)</f>
        <v>105400</v>
      </c>
      <c r="T2" s="1">
        <f>Input!D7*Input!D10</f>
        <v>2000</v>
      </c>
      <c r="U2" s="1">
        <f>IF(B2&gt;Input!D15,0,Input!D7*Input!D11)</f>
        <v>1000</v>
      </c>
      <c r="V2" s="1">
        <f>IF(B2&gt;Input!D15,0,Input!D7*Input!D12)</f>
        <v>2999.9999999999991</v>
      </c>
      <c r="W2" s="1">
        <f>U2*0.2</f>
        <v>200</v>
      </c>
      <c r="X2" s="1">
        <f>MAX(0,T2*20%)</f>
        <v>400</v>
      </c>
      <c r="Y2" s="1">
        <f>IF(B2&gt;Input!D$15,0,Input!D$7*Input!D$13)</f>
        <v>0</v>
      </c>
      <c r="Z2">
        <f ca="1">Input!H18+1</f>
        <v>2025</v>
      </c>
    </row>
    <row r="3" spans="1:26" x14ac:dyDescent="0.3">
      <c r="A3" t="s">
        <v>14</v>
      </c>
      <c r="B3">
        <v>2</v>
      </c>
      <c r="C3" s="1">
        <f>IF(B3&gt;Input!D$15,0,M2)</f>
        <v>0</v>
      </c>
      <c r="D3" s="15">
        <f>IF(B3&gt;Input!D$15,0,(D2-(Y2-J2)+(F2-H2)+(G2-I2)-IFERROR(K2*((Y2-J2)/Y2),0))+IF(Input!H$16="Yes",MIN(Q2,L2),0))</f>
        <v>0</v>
      </c>
      <c r="E3" s="1">
        <f>IF(B3&gt;Input!D$15,0,C3*Input!D$10)</f>
        <v>0</v>
      </c>
      <c r="F3" s="1">
        <f>IF(B3&gt;Input!D$15,0,C3*Input!D$11)</f>
        <v>0</v>
      </c>
      <c r="G3" s="1">
        <f>IF(R3=0,0,C3*Input!D$12)</f>
        <v>0</v>
      </c>
      <c r="H3" s="1">
        <f>IF((F3-N3)*Input!H$15&lt;0,0,(F3-N3)*Input!H$15)</f>
        <v>0</v>
      </c>
      <c r="I3" s="1">
        <f>IF(G3-O3&lt;=0,0,(G3-O3)*Input!J$18)</f>
        <v>0</v>
      </c>
      <c r="J3" s="1">
        <f>MAX(IFERROR(IF(B3&gt;Input!D$15,0,Y3-(Y3*((D3+F3+G3)/(C3+(C3*Input!D$8))))),0),0)</f>
        <v>0</v>
      </c>
      <c r="K3" s="15">
        <f>MAX(0,(J3-P3)*Input!K$15)</f>
        <v>0</v>
      </c>
      <c r="L3" s="1">
        <f t="shared" ref="L3:L51" si="0">M3-(D3+(F3-H3)+(G3-I3)-(Y3-J3)-IFERROR(K3-(K3*(J3/Y3)),0))</f>
        <v>0</v>
      </c>
      <c r="M3" s="1">
        <f t="shared" ref="M3:M33" si="1">SUM(C3,E3:G3)-SUM(H3:I3,K3)-Y3</f>
        <v>0</v>
      </c>
      <c r="N3" s="57">
        <f>IF(C3=0,0,SUM(IF(Input!H$15=0.2,VLOOKUP(Z3,Allowances!A:D,4,FALSE)-(VLOOKUP(Z3,Allowances!A:D,4,FALSE)*Input!H$12),IF(Input!H$15=0.4,VLOOKUP(Z3,Allowances!A:D,4,FALSE)/2-((VLOOKUP(Z3,Allowances!A:D,4,FALSE)*Input!H$12)/2),IF(Input!H$15=0.45,0,IF(Input!H$15=0,VLOOKUP(Z3,Allowances!A:D,4,FALSE)-(VLOOKUP(Z3,Allowances!A:D,4,FALSE)*Input!H$12),0))))))</f>
        <v>0</v>
      </c>
      <c r="O3" s="57">
        <f>IF(C3=0,0,VLOOKUP(Z3,Allowances!A:D,3,FALSE)-VLOOKUP(Z3,Allowances!A:D,3,FALSE)*Input!H$11)</f>
        <v>0</v>
      </c>
      <c r="P3" s="57">
        <f>IF(B3&gt;Input!D$15,0,VLOOKUP(Z3,Allowances!A:D,2,FALSE)-(VLOOKUP(Z3,Allowances!A:D,2,FALSE)*Input!H$13))</f>
        <v>0</v>
      </c>
      <c r="Q3" s="1">
        <f t="shared" ref="Q3:Q51" si="2">IF(P3-J3&lt;0,0,P3-J3)</f>
        <v>0</v>
      </c>
      <c r="R3" s="1">
        <f>IF(Input!D$15&lt;B3,0,R2+(R2*Input!D$8)-Y3)</f>
        <v>0</v>
      </c>
      <c r="S3" s="1">
        <f>IF(B3&gt;Input!D$15,0,S2+SUM(T3:V3)-SUM(W3:X3))-Y3</f>
        <v>0</v>
      </c>
      <c r="T3" s="1">
        <f>IF(R3=0,0,S2*Input!D$10)</f>
        <v>0</v>
      </c>
      <c r="U3" s="1">
        <f>IF(B3&gt;Input!D$15,0,S2*Input!D$11)</f>
        <v>0</v>
      </c>
      <c r="V3" s="1">
        <f>IF(B3&gt;Input!D$15,0,S2*Input!D$12)</f>
        <v>0</v>
      </c>
      <c r="W3" s="1">
        <f t="shared" ref="W3:W51" si="3">U3*0.2</f>
        <v>0</v>
      </c>
      <c r="X3" s="1">
        <f>MAX(0,T3*20%)</f>
        <v>0</v>
      </c>
      <c r="Y3" s="1">
        <f>IF(B3&gt;Input!D$15,0,Input!D$7*Input!D$13)</f>
        <v>0</v>
      </c>
      <c r="Z3" s="15">
        <f ca="1">Z2+1</f>
        <v>2026</v>
      </c>
    </row>
    <row r="4" spans="1:26" x14ac:dyDescent="0.3">
      <c r="A4" t="s">
        <v>14</v>
      </c>
      <c r="B4">
        <v>3</v>
      </c>
      <c r="C4" s="1">
        <f>IF(B4&gt;Input!D$15,0,M3)</f>
        <v>0</v>
      </c>
      <c r="D4" s="15">
        <f>IF(B4&gt;Input!D$15,0,(D3-(Y3-J3)+(F3-H3)+(G3-I3)-IFERROR(K3*((Y3-J3)/Y3),0))+IF(Input!H$16="Yes",MIN(Q3,L3),0))</f>
        <v>0</v>
      </c>
      <c r="E4" s="1">
        <f>IF(B4&gt;Input!D$15,0,C4*Input!D$10)</f>
        <v>0</v>
      </c>
      <c r="F4" s="1">
        <f>IF(B4&gt;Input!D$15,0,C4*Input!D$11)</f>
        <v>0</v>
      </c>
      <c r="G4" s="1">
        <f>IF(R4=0,0,C4*Input!D$12)</f>
        <v>0</v>
      </c>
      <c r="H4" s="1">
        <f>IF((F4-N4)*Input!H$15&lt;0,0,(F4-N4)*Input!H$15)</f>
        <v>0</v>
      </c>
      <c r="I4" s="1">
        <f>IF(G4-O4&lt;=0,0,(G4-O4)*Input!J$18)</f>
        <v>0</v>
      </c>
      <c r="J4" s="1">
        <f>MAX(IFERROR(IF(B4&gt;Input!D$15,0,Y4-(Y4*((D4+F4+G4)/(C4+(C4*Input!D$8))))),0),0)</f>
        <v>0</v>
      </c>
      <c r="K4" s="15">
        <f>MAX(0,(J4-P4)*Input!K$15)</f>
        <v>0</v>
      </c>
      <c r="L4" s="1">
        <f t="shared" si="0"/>
        <v>0</v>
      </c>
      <c r="M4" s="1">
        <f t="shared" si="1"/>
        <v>0</v>
      </c>
      <c r="N4" s="57">
        <f>IF(C4=0,0,SUM(IF(Input!H$15=0.2,VLOOKUP(Z4,Allowances!A:D,4,FALSE)-(VLOOKUP(Z4,Allowances!A:D,4,FALSE)*Input!H$12),IF(Input!H$15=0.4,VLOOKUP(Z4,Allowances!A:D,4,FALSE)/2-((VLOOKUP(Z4,Allowances!A:D,4,FALSE)*Input!H$12)/2),IF(Input!H$15=0.45,0,IF(Input!H$15=0,VLOOKUP(Z4,Allowances!A:D,4,FALSE)-(VLOOKUP(Z4,Allowances!A:D,4,FALSE)*Input!H$12),0))))))</f>
        <v>0</v>
      </c>
      <c r="O4" s="57">
        <f>IF(C4=0,0,VLOOKUP(Z4,Allowances!A:D,3,FALSE)-VLOOKUP(Z4,Allowances!A:D,3,FALSE)*Input!H$11)</f>
        <v>0</v>
      </c>
      <c r="P4" s="57">
        <f>IF(B4&gt;Input!D$15,0,VLOOKUP(Z4,Allowances!A:D,2,FALSE)-(VLOOKUP(Z4,Allowances!A:D,2,FALSE)*Input!H$13))</f>
        <v>0</v>
      </c>
      <c r="Q4" s="1">
        <f t="shared" si="2"/>
        <v>0</v>
      </c>
      <c r="R4" s="1">
        <f>IF(Input!D$15&lt;B4,0,R3+(R3*Input!D$8)-Y4)</f>
        <v>0</v>
      </c>
      <c r="S4" s="1">
        <f>IF(B4&gt;Input!D$15,0,S3+SUM(T4:V4)-SUM(W4:X4)-Y4)</f>
        <v>0</v>
      </c>
      <c r="T4" s="1">
        <f>IF(R4=0,0,S3*Input!D$10)</f>
        <v>0</v>
      </c>
      <c r="U4" s="1">
        <f>IF(B4&gt;Input!D$15,0,S3*Input!D$11)</f>
        <v>0</v>
      </c>
      <c r="V4" s="1">
        <f>IF(B4&gt;Input!D$15,0,S3*Input!D$12)</f>
        <v>0</v>
      </c>
      <c r="W4" s="1">
        <f t="shared" si="3"/>
        <v>0</v>
      </c>
      <c r="X4" s="1">
        <f>MAX(0,T4*20%)</f>
        <v>0</v>
      </c>
      <c r="Y4" s="1">
        <f>IF(B4&gt;Input!D$15,0,Input!D$7*Input!D$13)</f>
        <v>0</v>
      </c>
      <c r="Z4" s="15">
        <f t="shared" ref="Z4:Z51" ca="1" si="4">Z3+1</f>
        <v>2027</v>
      </c>
    </row>
    <row r="5" spans="1:26" x14ac:dyDescent="0.3">
      <c r="A5" t="s">
        <v>14</v>
      </c>
      <c r="B5">
        <v>4</v>
      </c>
      <c r="C5" s="1">
        <f>IF(B5&gt;Input!D$15,0,M4)</f>
        <v>0</v>
      </c>
      <c r="D5" s="15">
        <f>IF(B5&gt;Input!D$15,0,(D4-(Y4-J4)+(F4-H4)+(G4-I4)-IFERROR(K4*((Y4-J4)/Y4),0))+IF(Input!H$16="Yes",MIN(Q4,L4),0))</f>
        <v>0</v>
      </c>
      <c r="E5" s="1">
        <f>IF(B5&gt;Input!D$15,0,C5*Input!D$10)</f>
        <v>0</v>
      </c>
      <c r="F5" s="1">
        <f>IF(B5&gt;Input!D$15,0,C5*Input!D$11)</f>
        <v>0</v>
      </c>
      <c r="G5" s="1">
        <f>IF(R5=0,0,C5*Input!D$12)</f>
        <v>0</v>
      </c>
      <c r="H5" s="1">
        <f>IF((F5-N5)*Input!H$15&lt;0,0,(F5-N5)*Input!H$15)</f>
        <v>0</v>
      </c>
      <c r="I5" s="1">
        <f>IF(G5-O5&lt;=0,0,(G5-O5)*Input!J$18)</f>
        <v>0</v>
      </c>
      <c r="J5" s="1">
        <f>MAX(IFERROR(IF(B5&gt;Input!D$15,0,Y5-(Y5*((D5+F5+G5)/(C5+(C5*Input!D$8))))),0),0)</f>
        <v>0</v>
      </c>
      <c r="K5" s="15">
        <f>MAX(0,(J5-P5)*Input!K$15)</f>
        <v>0</v>
      </c>
      <c r="L5" s="1">
        <f t="shared" si="0"/>
        <v>0</v>
      </c>
      <c r="M5" s="1">
        <f t="shared" si="1"/>
        <v>0</v>
      </c>
      <c r="N5" s="57">
        <f>IF(C5=0,0,SUM(IF(Input!H$15=0.2,VLOOKUP(Z5,Allowances!A:D,4,FALSE)-(VLOOKUP(Z5,Allowances!A:D,4,FALSE)*Input!H$12),IF(Input!H$15=0.4,VLOOKUP(Z5,Allowances!A:D,4,FALSE)/2-((VLOOKUP(Z5,Allowances!A:D,4,FALSE)*Input!H$12)/2),IF(Input!H$15=0.45,0,IF(Input!H$15=0,VLOOKUP(Z5,Allowances!A:D,4,FALSE)-(VLOOKUP(Z5,Allowances!A:D,4,FALSE)*Input!H$12),0))))))</f>
        <v>0</v>
      </c>
      <c r="O5" s="57">
        <f>IF(C5=0,0,VLOOKUP(Z5,Allowances!A:D,3,FALSE)-VLOOKUP(Z5,Allowances!A:D,3,FALSE)*Input!H$11)</f>
        <v>0</v>
      </c>
      <c r="P5" s="57">
        <f>IF(B5&gt;Input!D$15,0,VLOOKUP(Z5,Allowances!A:D,2,FALSE)-(VLOOKUP(Z5,Allowances!A:D,2,FALSE)*Input!H$13))</f>
        <v>0</v>
      </c>
      <c r="Q5" s="1">
        <f t="shared" si="2"/>
        <v>0</v>
      </c>
      <c r="R5" s="1">
        <f>IF(Input!D$15&lt;B5,0,R4+(R4*Input!D$8)-Y5)</f>
        <v>0</v>
      </c>
      <c r="S5" s="1">
        <f>IF(B5&gt;Input!D$15,0,S4+SUM(T5:V5)-SUM(W5:X5)-Y5)</f>
        <v>0</v>
      </c>
      <c r="T5" s="1">
        <f>IF(R5=0,0,S4*Input!D$10)</f>
        <v>0</v>
      </c>
      <c r="U5" s="1">
        <f>IF(B5&gt;Input!D$15,0,S4*Input!D$11)</f>
        <v>0</v>
      </c>
      <c r="V5" s="1">
        <f>IF(B5&gt;Input!D$15,0,S4*Input!D$12)</f>
        <v>0</v>
      </c>
      <c r="W5" s="1">
        <f t="shared" si="3"/>
        <v>0</v>
      </c>
      <c r="X5" s="1">
        <f t="shared" ref="X5:X51" si="5">MAX(0,T5*20%)</f>
        <v>0</v>
      </c>
      <c r="Y5" s="1">
        <f>IF(B5&gt;Input!D$15,0,Input!D$7*Input!D$13)</f>
        <v>0</v>
      </c>
      <c r="Z5" s="15">
        <f t="shared" ca="1" si="4"/>
        <v>2028</v>
      </c>
    </row>
    <row r="6" spans="1:26" x14ac:dyDescent="0.3">
      <c r="A6" t="s">
        <v>14</v>
      </c>
      <c r="B6">
        <v>5</v>
      </c>
      <c r="C6" s="1">
        <f>IF(B6&gt;Input!D$15,0,M5)</f>
        <v>0</v>
      </c>
      <c r="D6" s="15">
        <f>IF(B6&gt;Input!D$15,0,(D5-(Y5-J5)+(F5-H5)+(G5-I5)-IFERROR(K5*((Y5-J5)/Y5),0))+IF(Input!H$16="Yes",MIN(Q5,L5),0))</f>
        <v>0</v>
      </c>
      <c r="E6" s="1">
        <f>IF(B6&gt;Input!D$15,0,C6*Input!D$10)</f>
        <v>0</v>
      </c>
      <c r="F6" s="1">
        <f>IF(B6&gt;Input!D$15,0,C6*Input!D$11)</f>
        <v>0</v>
      </c>
      <c r="G6" s="1">
        <f>IF(R6=0,0,C6*Input!D$12)</f>
        <v>0</v>
      </c>
      <c r="H6" s="1">
        <f>IF((F6-N6)*Input!H$15&lt;0,0,(F6-N6)*Input!H$15)</f>
        <v>0</v>
      </c>
      <c r="I6" s="1">
        <f>IF(G6-O6&lt;=0,0,(G6-O6)*Input!J$18)</f>
        <v>0</v>
      </c>
      <c r="J6" s="1">
        <f>MAX(IFERROR(IF(B6&gt;Input!D$15,0,Y6-(Y6*((D6+F6+G6)/(C6+(C6*Input!D$8))))),0),0)</f>
        <v>0</v>
      </c>
      <c r="K6" s="15">
        <f>MAX(0,(J6-P6)*Input!K$15)</f>
        <v>0</v>
      </c>
      <c r="L6" s="1">
        <f t="shared" si="0"/>
        <v>0</v>
      </c>
      <c r="M6" s="1">
        <f t="shared" si="1"/>
        <v>0</v>
      </c>
      <c r="N6" s="57">
        <f>IF(C6=0,0,SUM(IF(Input!H$15=0.2,VLOOKUP(Z6,Allowances!A:D,4,FALSE)-(VLOOKUP(Z6,Allowances!A:D,4,FALSE)*Input!H$12),IF(Input!H$15=0.4,VLOOKUP(Z6,Allowances!A:D,4,FALSE)/2-((VLOOKUP(Z6,Allowances!A:D,4,FALSE)*Input!H$12)/2),IF(Input!H$15=0.45,0,IF(Input!H$15=0,VLOOKUP(Z6,Allowances!A:D,4,FALSE)-(VLOOKUP(Z6,Allowances!A:D,4,FALSE)*Input!H$12),0))))))</f>
        <v>0</v>
      </c>
      <c r="O6" s="57">
        <f>IF(C6=0,0,VLOOKUP(Z6,Allowances!A:D,3,FALSE)-VLOOKUP(Z6,Allowances!A:D,3,FALSE)*Input!H$11)</f>
        <v>0</v>
      </c>
      <c r="P6" s="57">
        <f>IF(B6&gt;Input!D$15,0,VLOOKUP(Z6,Allowances!A:D,2,FALSE)-(VLOOKUP(Z6,Allowances!A:D,2,FALSE)*Input!H$13))</f>
        <v>0</v>
      </c>
      <c r="Q6" s="1">
        <f t="shared" si="2"/>
        <v>0</v>
      </c>
      <c r="R6" s="1">
        <f>IF(Input!D$15&lt;B6,0,R5+(R5*Input!D$8)-Y6)</f>
        <v>0</v>
      </c>
      <c r="S6" s="1">
        <f>IF(B6&gt;Input!D$15,0,S5+SUM(T6:V6)-SUM(W6:X6)-Y6)</f>
        <v>0</v>
      </c>
      <c r="T6" s="1">
        <f>IF(R6=0,0,S5*Input!D$10)</f>
        <v>0</v>
      </c>
      <c r="U6" s="1">
        <f>IF(B6&gt;Input!D$15,0,S5*Input!D$11)</f>
        <v>0</v>
      </c>
      <c r="V6" s="1">
        <f>IF(B6&gt;Input!D$15,0,S5*Input!D$12)</f>
        <v>0</v>
      </c>
      <c r="W6" s="1">
        <f t="shared" si="3"/>
        <v>0</v>
      </c>
      <c r="X6" s="1">
        <f t="shared" si="5"/>
        <v>0</v>
      </c>
      <c r="Y6" s="1">
        <f>IF(B6&gt;Input!D$15,0,Input!D$7*Input!D$13)</f>
        <v>0</v>
      </c>
      <c r="Z6" s="15">
        <f t="shared" ca="1" si="4"/>
        <v>2029</v>
      </c>
    </row>
    <row r="7" spans="1:26" x14ac:dyDescent="0.3">
      <c r="A7" t="s">
        <v>14</v>
      </c>
      <c r="B7">
        <v>6</v>
      </c>
      <c r="C7" s="1">
        <f>IF(B7&gt;Input!D$15,0,M6)</f>
        <v>0</v>
      </c>
      <c r="D7" s="15">
        <f>IF(B7&gt;Input!D$15,0,(D6-(Y6-J6)+(F6-H6)+(G6-I6)-IFERROR(K6*((Y6-J6)/Y6),0))+IF(Input!H$16="Yes",MIN(Q6,L6),0))</f>
        <v>0</v>
      </c>
      <c r="E7" s="1">
        <f>IF(B7&gt;Input!D$15,0,C7*Input!D$10)</f>
        <v>0</v>
      </c>
      <c r="F7" s="1">
        <f>IF(B7&gt;Input!D$15,0,C7*Input!D$11)</f>
        <v>0</v>
      </c>
      <c r="G7" s="1">
        <f>IF(R7=0,0,C7*Input!D$12)</f>
        <v>0</v>
      </c>
      <c r="H7" s="1">
        <f>IF((F7-N7)*Input!H$15&lt;0,0,(F7-N7)*Input!H$15)</f>
        <v>0</v>
      </c>
      <c r="I7" s="1">
        <f>IF(G7-O7&lt;=0,0,(G7-O7)*Input!J$18)</f>
        <v>0</v>
      </c>
      <c r="J7" s="1">
        <f>MAX(IFERROR(IF(B7&gt;Input!D$15,0,Y7-(Y7*((D7+F7+G7)/(C7+(C7*Input!D$8))))),0),0)</f>
        <v>0</v>
      </c>
      <c r="K7" s="15">
        <f>MAX(0,(J7-P7)*Input!K$15)</f>
        <v>0</v>
      </c>
      <c r="L7" s="1">
        <f t="shared" si="0"/>
        <v>0</v>
      </c>
      <c r="M7" s="1">
        <f t="shared" si="1"/>
        <v>0</v>
      </c>
      <c r="N7" s="57">
        <f>IF(C7=0,0,SUM(IF(Input!H$15=0.2,VLOOKUP(Z7,Allowances!A:D,4,FALSE)-(VLOOKUP(Z7,Allowances!A:D,4,FALSE)*Input!H$12),IF(Input!H$15=0.4,VLOOKUP(Z7,Allowances!A:D,4,FALSE)/2-((VLOOKUP(Z7,Allowances!A:D,4,FALSE)*Input!H$12)/2),IF(Input!H$15=0.45,0,IF(Input!H$15=0,VLOOKUP(Z7,Allowances!A:D,4,FALSE)-(VLOOKUP(Z7,Allowances!A:D,4,FALSE)*Input!H$12),0))))))</f>
        <v>0</v>
      </c>
      <c r="O7" s="57">
        <f>IF(C7=0,0,VLOOKUP(Z7,Allowances!A:D,3,FALSE)-VLOOKUP(Z7,Allowances!A:D,3,FALSE)*Input!H$11)</f>
        <v>0</v>
      </c>
      <c r="P7" s="57">
        <f>IF(B7&gt;Input!D$15,0,VLOOKUP(Z7,Allowances!A:D,2,FALSE)-(VLOOKUP(Z7,Allowances!A:D,2,FALSE)*Input!H$13))</f>
        <v>0</v>
      </c>
      <c r="Q7" s="1">
        <f t="shared" si="2"/>
        <v>0</v>
      </c>
      <c r="R7" s="1">
        <f>IF(Input!D$15&lt;B7,0,R6+(R6*Input!D$8)-Y7)</f>
        <v>0</v>
      </c>
      <c r="S7" s="1">
        <f>IF(B7&gt;Input!D$15,0,S6+SUM(T7:V7)-SUM(W7:X7)-Y7)</f>
        <v>0</v>
      </c>
      <c r="T7" s="1">
        <f>IF(R7=0,0,S6*Input!D$10)</f>
        <v>0</v>
      </c>
      <c r="U7" s="1">
        <f>IF(B7&gt;Input!D$15,0,S6*Input!D$11)</f>
        <v>0</v>
      </c>
      <c r="V7" s="1">
        <f>IF(B7&gt;Input!D$15,0,S6*Input!D$12)</f>
        <v>0</v>
      </c>
      <c r="W7" s="1">
        <f t="shared" si="3"/>
        <v>0</v>
      </c>
      <c r="X7" s="1">
        <f t="shared" si="5"/>
        <v>0</v>
      </c>
      <c r="Y7" s="1">
        <f>IF(B7&gt;Input!D$15,0,Input!D$7*Input!D$13)</f>
        <v>0</v>
      </c>
      <c r="Z7" s="15">
        <f t="shared" ca="1" si="4"/>
        <v>2030</v>
      </c>
    </row>
    <row r="8" spans="1:26" x14ac:dyDescent="0.3">
      <c r="A8" t="s">
        <v>14</v>
      </c>
      <c r="B8">
        <v>7</v>
      </c>
      <c r="C8" s="1">
        <f>IF(B8&gt;Input!D$15,0,M7)</f>
        <v>0</v>
      </c>
      <c r="D8" s="15">
        <f>IF(B8&gt;Input!D$15,0,(D7-(Y7-J7)+(F7-H7)+(G7-I7)-IFERROR(K7*((Y7-J7)/Y7),0))+IF(Input!H$16="Yes",MIN(Q7,L7),0))</f>
        <v>0</v>
      </c>
      <c r="E8" s="1">
        <f>IF(B8&gt;Input!D$15,0,C8*Input!D$10)</f>
        <v>0</v>
      </c>
      <c r="F8" s="1">
        <f>IF(B8&gt;Input!D$15,0,C8*Input!D$11)</f>
        <v>0</v>
      </c>
      <c r="G8" s="1">
        <f>IF(R8=0,0,C8*Input!D$12)</f>
        <v>0</v>
      </c>
      <c r="H8" s="1">
        <f>IF((F8-N8)*Input!H$15&lt;0,0,(F8-N8)*Input!H$15)</f>
        <v>0</v>
      </c>
      <c r="I8" s="1">
        <f>IF(G8-O8&lt;=0,0,(G8-O8)*Input!J$18)</f>
        <v>0</v>
      </c>
      <c r="J8" s="1">
        <f>MAX(IFERROR(IF(B8&gt;Input!D$15,0,Y8-(Y8*((D8+F8+G8)/(C8+(C8*Input!D$8))))),0),0)</f>
        <v>0</v>
      </c>
      <c r="K8" s="15">
        <f>MAX(0,(J8-P8)*Input!K$15)</f>
        <v>0</v>
      </c>
      <c r="L8" s="1">
        <f t="shared" si="0"/>
        <v>0</v>
      </c>
      <c r="M8" s="1">
        <f t="shared" si="1"/>
        <v>0</v>
      </c>
      <c r="N8" s="57">
        <f>IF(C8=0,0,SUM(IF(Input!H$15=0.2,VLOOKUP(Z8,Allowances!A:D,4,FALSE)-(VLOOKUP(Z8,Allowances!A:D,4,FALSE)*Input!H$12),IF(Input!H$15=0.4,VLOOKUP(Z8,Allowances!A:D,4,FALSE)/2-((VLOOKUP(Z8,Allowances!A:D,4,FALSE)*Input!H$12)/2),IF(Input!H$15=0.45,0,IF(Input!H$15=0,VLOOKUP(Z8,Allowances!A:D,4,FALSE)-(VLOOKUP(Z8,Allowances!A:D,4,FALSE)*Input!H$12),0))))))</f>
        <v>0</v>
      </c>
      <c r="O8" s="57">
        <f>IF(C8=0,0,VLOOKUP(Z8,Allowances!A:D,3,FALSE)-VLOOKUP(Z8,Allowances!A:D,3,FALSE)*Input!H$11)</f>
        <v>0</v>
      </c>
      <c r="P8" s="57">
        <f>IF(B8&gt;Input!D$15,0,VLOOKUP(Z8,Allowances!A:D,2,FALSE)-(VLOOKUP(Z8,Allowances!A:D,2,FALSE)*Input!H$13))</f>
        <v>0</v>
      </c>
      <c r="Q8" s="1">
        <f t="shared" si="2"/>
        <v>0</v>
      </c>
      <c r="R8" s="1">
        <f>IF(Input!D$15&lt;B8,0,R7+(R7*Input!D$8)-Y8)</f>
        <v>0</v>
      </c>
      <c r="S8" s="1">
        <f>IF(B8&gt;Input!D$15,0,S7+SUM(T8:V8)-SUM(W8:X8)-Y8)</f>
        <v>0</v>
      </c>
      <c r="T8" s="1">
        <f>IF(R8=0,0,S7*Input!D$10)</f>
        <v>0</v>
      </c>
      <c r="U8" s="1">
        <f>IF(B8&gt;Input!D$15,0,S7*Input!D$11)</f>
        <v>0</v>
      </c>
      <c r="V8" s="1">
        <f>IF(B8&gt;Input!D$15,0,S7*Input!D$12)</f>
        <v>0</v>
      </c>
      <c r="W8" s="1">
        <f t="shared" si="3"/>
        <v>0</v>
      </c>
      <c r="X8" s="1">
        <f t="shared" si="5"/>
        <v>0</v>
      </c>
      <c r="Y8" s="1">
        <f>IF(B8&gt;Input!D$15,0,Input!D$7*Input!D$13)</f>
        <v>0</v>
      </c>
      <c r="Z8" s="15">
        <f t="shared" ca="1" si="4"/>
        <v>2031</v>
      </c>
    </row>
    <row r="9" spans="1:26" x14ac:dyDescent="0.3">
      <c r="A9" t="s">
        <v>14</v>
      </c>
      <c r="B9">
        <v>8</v>
      </c>
      <c r="C9" s="1">
        <f>IF(B9&gt;Input!D$15,0,M8)</f>
        <v>0</v>
      </c>
      <c r="D9" s="15">
        <f>IF(B9&gt;Input!D$15,0,(D8-(Y8-J8)+(F8-H8)+(G8-I8)-IFERROR(K8*((Y8-J8)/Y8),0))+IF(Input!H$16="Yes",MIN(Q8,L8),0))</f>
        <v>0</v>
      </c>
      <c r="E9" s="1">
        <f>IF(B9&gt;Input!D$15,0,C9*Input!D$10)</f>
        <v>0</v>
      </c>
      <c r="F9" s="1">
        <f>IF(B9&gt;Input!D$15,0,C9*Input!D$11)</f>
        <v>0</v>
      </c>
      <c r="G9" s="1">
        <f>IF(R9=0,0,C9*Input!D$12)</f>
        <v>0</v>
      </c>
      <c r="H9" s="1">
        <f>IF((F9-N9)*Input!H$15&lt;0,0,(F9-N9)*Input!H$15)</f>
        <v>0</v>
      </c>
      <c r="I9" s="1">
        <f>IF(G9-O9&lt;=0,0,(G9-O9)*Input!J$18)</f>
        <v>0</v>
      </c>
      <c r="J9" s="1">
        <f>MAX(IFERROR(IF(B9&gt;Input!D$15,0,Y9-(Y9*((D9+F9+G9)/(C9+(C9*Input!D$8))))),0),0)</f>
        <v>0</v>
      </c>
      <c r="K9" s="15">
        <f>MAX(0,(J9-P9)*Input!K$15)</f>
        <v>0</v>
      </c>
      <c r="L9" s="1">
        <f t="shared" si="0"/>
        <v>0</v>
      </c>
      <c r="M9" s="1">
        <f t="shared" si="1"/>
        <v>0</v>
      </c>
      <c r="N9" s="57">
        <f>IF(C9=0,0,SUM(IF(Input!H$15=0.2,VLOOKUP(Z9,Allowances!A:D,4,FALSE)-(VLOOKUP(Z9,Allowances!A:D,4,FALSE)*Input!H$12),IF(Input!H$15=0.4,VLOOKUP(Z9,Allowances!A:D,4,FALSE)/2-((VLOOKUP(Z9,Allowances!A:D,4,FALSE)*Input!H$12)/2),IF(Input!H$15=0.45,0,IF(Input!H$15=0,VLOOKUP(Z9,Allowances!A:D,4,FALSE)-(VLOOKUP(Z9,Allowances!A:D,4,FALSE)*Input!H$12),0))))))</f>
        <v>0</v>
      </c>
      <c r="O9" s="57">
        <f>IF(C9=0,0,VLOOKUP(Z9,Allowances!A:D,3,FALSE)-VLOOKUP(Z9,Allowances!A:D,3,FALSE)*Input!H$11)</f>
        <v>0</v>
      </c>
      <c r="P9" s="57">
        <f>IF(B9&gt;Input!D$15,0,VLOOKUP(Z9,Allowances!A:D,2,FALSE)-(VLOOKUP(Z9,Allowances!A:D,2,FALSE)*Input!H$13))</f>
        <v>0</v>
      </c>
      <c r="Q9" s="1">
        <f t="shared" si="2"/>
        <v>0</v>
      </c>
      <c r="R9" s="1">
        <f>IF(Input!D$15&lt;B9,0,R8+(R8*Input!D$8)-Y9)</f>
        <v>0</v>
      </c>
      <c r="S9" s="1">
        <f>IF(B9&gt;Input!D$15,0,S8+SUM(T9:V9)-SUM(W9:X9)-Y9)</f>
        <v>0</v>
      </c>
      <c r="T9" s="1">
        <f>IF(R9=0,0,S8*Input!D$10)</f>
        <v>0</v>
      </c>
      <c r="U9" s="1">
        <f>IF(B9&gt;Input!D$15,0,S8*Input!D$11)</f>
        <v>0</v>
      </c>
      <c r="V9" s="1">
        <f>IF(B9&gt;Input!D$15,0,S8*Input!D$12)</f>
        <v>0</v>
      </c>
      <c r="W9" s="1">
        <f t="shared" si="3"/>
        <v>0</v>
      </c>
      <c r="X9" s="1">
        <f t="shared" si="5"/>
        <v>0</v>
      </c>
      <c r="Y9" s="1">
        <f>IF(B9&gt;Input!D$15,0,Input!D$7*Input!D$13)</f>
        <v>0</v>
      </c>
      <c r="Z9" s="15">
        <f t="shared" ca="1" si="4"/>
        <v>2032</v>
      </c>
    </row>
    <row r="10" spans="1:26" x14ac:dyDescent="0.3">
      <c r="A10" t="s">
        <v>14</v>
      </c>
      <c r="B10">
        <v>9</v>
      </c>
      <c r="C10" s="1">
        <f>IF(B10&gt;Input!D$15,0,M9)</f>
        <v>0</v>
      </c>
      <c r="D10" s="15">
        <f>IF(B10&gt;Input!D$15,0,(D9-(Y9-J9)+(F9-H9)+(G9-I9)-IFERROR(K9*((Y9-J9)/Y9),0))+IF(Input!H$16="Yes",MIN(Q9,L9),0))</f>
        <v>0</v>
      </c>
      <c r="E10" s="1">
        <f>IF(B10&gt;Input!D$15,0,C10*Input!D$10)</f>
        <v>0</v>
      </c>
      <c r="F10" s="1">
        <f>IF(B10&gt;Input!D$15,0,C10*Input!D$11)</f>
        <v>0</v>
      </c>
      <c r="G10" s="1">
        <f>IF(R10=0,0,C10*Input!D$12)</f>
        <v>0</v>
      </c>
      <c r="H10" s="1">
        <f>IF((F10-N10)*Input!H$15&lt;0,0,(F10-N10)*Input!H$15)</f>
        <v>0</v>
      </c>
      <c r="I10" s="1">
        <f>IF(G10-O10&lt;=0,0,(G10-O10)*Input!J$18)</f>
        <v>0</v>
      </c>
      <c r="J10" s="1">
        <f>MAX(IFERROR(IF(B10&gt;Input!D$15,0,Y10-(Y10*((D10+F10+G10)/(C10+(C10*Input!D$8))))),0),0)</f>
        <v>0</v>
      </c>
      <c r="K10" s="15">
        <f>MAX(0,(J10-P10)*Input!K$15)</f>
        <v>0</v>
      </c>
      <c r="L10" s="1">
        <f t="shared" si="0"/>
        <v>0</v>
      </c>
      <c r="M10" s="1">
        <f t="shared" si="1"/>
        <v>0</v>
      </c>
      <c r="N10" s="57">
        <f>IF(C10=0,0,SUM(IF(Input!H$15=0.2,VLOOKUP(Z10,Allowances!A:D,4,FALSE)-(VLOOKUP(Z10,Allowances!A:D,4,FALSE)*Input!H$12),IF(Input!H$15=0.4,VLOOKUP(Z10,Allowances!A:D,4,FALSE)/2-((VLOOKUP(Z10,Allowances!A:D,4,FALSE)*Input!H$12)/2),IF(Input!H$15=0.45,0,IF(Input!H$15=0,VLOOKUP(Z10,Allowances!A:D,4,FALSE)-(VLOOKUP(Z10,Allowances!A:D,4,FALSE)*Input!H$12),0))))))</f>
        <v>0</v>
      </c>
      <c r="O10" s="57">
        <f>IF(C10=0,0,VLOOKUP(Z10,Allowances!A:D,3,FALSE)-VLOOKUP(Z10,Allowances!A:D,3,FALSE)*Input!H$11)</f>
        <v>0</v>
      </c>
      <c r="P10" s="57">
        <f>IF(B10&gt;Input!D$15,0,VLOOKUP(Z10,Allowances!A:D,2,FALSE)-(VLOOKUP(Z10,Allowances!A:D,2,FALSE)*Input!H$13))</f>
        <v>0</v>
      </c>
      <c r="Q10" s="1">
        <f t="shared" si="2"/>
        <v>0</v>
      </c>
      <c r="R10" s="1">
        <f>IF(Input!D$15&lt;B10,0,R9+(R9*Input!D$8)-Y10)</f>
        <v>0</v>
      </c>
      <c r="S10" s="1">
        <f>IF(B10&gt;Input!D$15,0,S9+SUM(T10:V10)-SUM(W10:X10)-Y10)</f>
        <v>0</v>
      </c>
      <c r="T10" s="1">
        <f>IF(R10=0,0,S9*Input!D$10)</f>
        <v>0</v>
      </c>
      <c r="U10" s="1">
        <f>IF(B10&gt;Input!D$15,0,S9*Input!D$11)</f>
        <v>0</v>
      </c>
      <c r="V10" s="1">
        <f>IF(B10&gt;Input!D$15,0,S9*Input!D$12)</f>
        <v>0</v>
      </c>
      <c r="W10" s="1">
        <f t="shared" si="3"/>
        <v>0</v>
      </c>
      <c r="X10" s="1">
        <f t="shared" si="5"/>
        <v>0</v>
      </c>
      <c r="Y10" s="1">
        <f>IF(B10&gt;Input!D$15,0,Input!D$7*Input!D$13)</f>
        <v>0</v>
      </c>
      <c r="Z10" s="15">
        <f t="shared" ca="1" si="4"/>
        <v>2033</v>
      </c>
    </row>
    <row r="11" spans="1:26" x14ac:dyDescent="0.3">
      <c r="A11" t="s">
        <v>14</v>
      </c>
      <c r="B11">
        <v>10</v>
      </c>
      <c r="C11" s="1">
        <f>IF(B11&gt;Input!D$15,0,M10)</f>
        <v>0</v>
      </c>
      <c r="D11" s="15">
        <f>IF(B11&gt;Input!D$15,0,(D10-(Y10-J10)+(F10-H10)+(G10-I10)-IFERROR(K10*((Y10-J10)/Y10),0))+IF(Input!H$16="Yes",MIN(Q10,L10),0))</f>
        <v>0</v>
      </c>
      <c r="E11" s="1">
        <f>IF(B11&gt;Input!D$15,0,C11*Input!D$10)</f>
        <v>0</v>
      </c>
      <c r="F11" s="1">
        <f>IF(B11&gt;Input!D$15,0,C11*Input!D$11)</f>
        <v>0</v>
      </c>
      <c r="G11" s="1">
        <f>IF(R11=0,0,C11*Input!D$12)</f>
        <v>0</v>
      </c>
      <c r="H11" s="1">
        <f>IF((F11-N11)*Input!H$15&lt;0,0,(F11-N11)*Input!H$15)</f>
        <v>0</v>
      </c>
      <c r="I11" s="1">
        <f>IF(G11-O11&lt;=0,0,(G11-O11)*Input!J$18)</f>
        <v>0</v>
      </c>
      <c r="J11" s="1">
        <f>MAX(IFERROR(IF(B11&gt;Input!D$15,0,Y11-(Y11*((D11+F11+G11)/(C11+(C11*Input!D$8))))),0),0)</f>
        <v>0</v>
      </c>
      <c r="K11" s="15">
        <f>MAX(0,(J11-P11)*Input!K$15)</f>
        <v>0</v>
      </c>
      <c r="L11" s="1">
        <f t="shared" si="0"/>
        <v>0</v>
      </c>
      <c r="M11" s="1">
        <f t="shared" si="1"/>
        <v>0</v>
      </c>
      <c r="N11" s="57">
        <f>IF(C11=0,0,SUM(IF(Input!H$15=0.2,VLOOKUP(Z11,Allowances!A:D,4,FALSE)-(VLOOKUP(Z11,Allowances!A:D,4,FALSE)*Input!H$12),IF(Input!H$15=0.4,VLOOKUP(Z11,Allowances!A:D,4,FALSE)/2-((VLOOKUP(Z11,Allowances!A:D,4,FALSE)*Input!H$12)/2),IF(Input!H$15=0.45,0,IF(Input!H$15=0,VLOOKUP(Z11,Allowances!A:D,4,FALSE)-(VLOOKUP(Z11,Allowances!A:D,4,FALSE)*Input!H$12),0))))))</f>
        <v>0</v>
      </c>
      <c r="O11" s="57">
        <f>IF(C11=0,0,VLOOKUP(Z11,Allowances!A:D,3,FALSE)-VLOOKUP(Z11,Allowances!A:D,3,FALSE)*Input!H$11)</f>
        <v>0</v>
      </c>
      <c r="P11" s="57">
        <f>IF(B11&gt;Input!D$15,0,VLOOKUP(Z11,Allowances!A:D,2,FALSE)-(VLOOKUP(Z11,Allowances!A:D,2,FALSE)*Input!H$13))</f>
        <v>0</v>
      </c>
      <c r="Q11" s="1">
        <f t="shared" si="2"/>
        <v>0</v>
      </c>
      <c r="R11" s="1">
        <f>IF(Input!D$15&lt;B11,0,R10+(R10*Input!D$8)-Y11)</f>
        <v>0</v>
      </c>
      <c r="S11" s="1">
        <f>IF(B11&gt;Input!D$15,0,S10+SUM(T11:V11)-SUM(W11:X11)-Y11)</f>
        <v>0</v>
      </c>
      <c r="T11" s="1">
        <f>IF(R11=0,0,S10*Input!D$10)</f>
        <v>0</v>
      </c>
      <c r="U11" s="1">
        <f>IF(B11&gt;Input!D$15,0,S10*Input!D$11)</f>
        <v>0</v>
      </c>
      <c r="V11" s="1">
        <f>IF(B11&gt;Input!D$15,0,S10*Input!D$12)</f>
        <v>0</v>
      </c>
      <c r="W11" s="1">
        <f t="shared" si="3"/>
        <v>0</v>
      </c>
      <c r="X11" s="1">
        <f t="shared" si="5"/>
        <v>0</v>
      </c>
      <c r="Y11" s="1">
        <f>IF(B11&gt;Input!D$15,0,Input!D$7*Input!D$13)</f>
        <v>0</v>
      </c>
      <c r="Z11" s="15">
        <f t="shared" ca="1" si="4"/>
        <v>2034</v>
      </c>
    </row>
    <row r="12" spans="1:26" x14ac:dyDescent="0.3">
      <c r="A12" t="s">
        <v>14</v>
      </c>
      <c r="B12">
        <v>11</v>
      </c>
      <c r="C12" s="1">
        <f>IF(B12&gt;Input!D$15,0,M11)</f>
        <v>0</v>
      </c>
      <c r="D12" s="15">
        <f>IF(B12&gt;Input!D$15,0,(D11-(Y11-J11)+(F11-H11)+(G11-I11)-IFERROR(K11*((Y11-J11)/Y11),0))+IF(Input!H$16="Yes",MIN(Q11,L11),0))</f>
        <v>0</v>
      </c>
      <c r="E12" s="1">
        <f>IF(B12&gt;Input!D$15,0,C12*Input!D$10)</f>
        <v>0</v>
      </c>
      <c r="F12" s="1">
        <f>IF(B12&gt;Input!D$15,0,C12*Input!D$11)</f>
        <v>0</v>
      </c>
      <c r="G12" s="1">
        <f>IF(R12=0,0,C12*Input!D$12)</f>
        <v>0</v>
      </c>
      <c r="H12" s="1">
        <f>IF((F12-N12)*Input!H$15&lt;0,0,(F12-N12)*Input!H$15)</f>
        <v>0</v>
      </c>
      <c r="I12" s="1">
        <f>IF(G12-O12&lt;=0,0,(G12-O12)*Input!J$18)</f>
        <v>0</v>
      </c>
      <c r="J12" s="1">
        <f>MAX(IFERROR(IF(B12&gt;Input!D$15,0,Y12-(Y12*((D12+F12+G12)/(C12+(C12*Input!D$8))))),0),0)</f>
        <v>0</v>
      </c>
      <c r="K12" s="15">
        <f>MAX(0,(J12-P12)*Input!K$15)</f>
        <v>0</v>
      </c>
      <c r="L12" s="1">
        <f t="shared" si="0"/>
        <v>0</v>
      </c>
      <c r="M12" s="1">
        <f t="shared" si="1"/>
        <v>0</v>
      </c>
      <c r="N12" s="57">
        <f>IF(C12=0,0,SUM(IF(Input!H$15=0.2,VLOOKUP(Z12,Allowances!A:D,4,FALSE)-(VLOOKUP(Z12,Allowances!A:D,4,FALSE)*Input!H$12),IF(Input!H$15=0.4,VLOOKUP(Z12,Allowances!A:D,4,FALSE)/2-((VLOOKUP(Z12,Allowances!A:D,4,FALSE)*Input!H$12)/2),IF(Input!H$15=0.45,0,IF(Input!H$15=0,VLOOKUP(Z12,Allowances!A:D,4,FALSE)-(VLOOKUP(Z12,Allowances!A:D,4,FALSE)*Input!H$12),0))))))</f>
        <v>0</v>
      </c>
      <c r="O12" s="57">
        <f>IF(C12=0,0,VLOOKUP(Z12,Allowances!A:D,3,FALSE)-VLOOKUP(Z12,Allowances!A:D,3,FALSE)*Input!H$11)</f>
        <v>0</v>
      </c>
      <c r="P12" s="57">
        <f>IF(B12&gt;Input!D$15,0,VLOOKUP(Z12,Allowances!A:D,2,FALSE)-(VLOOKUP(Z12,Allowances!A:D,2,FALSE)*Input!H$13))</f>
        <v>0</v>
      </c>
      <c r="Q12" s="1">
        <f t="shared" si="2"/>
        <v>0</v>
      </c>
      <c r="R12" s="1">
        <f>IF(Input!D$15&lt;B12,0,R11+(R11*Input!D$8)-Y12)</f>
        <v>0</v>
      </c>
      <c r="S12" s="1">
        <f>IF(B12&gt;Input!D$15,0,S11+SUM(T12:V12)-SUM(W12:X12)-Y12)</f>
        <v>0</v>
      </c>
      <c r="T12" s="1">
        <f>IF(R12=0,0,S11*Input!D$10)</f>
        <v>0</v>
      </c>
      <c r="U12" s="1">
        <f>IF(B12&gt;Input!D$15,0,S11*Input!D$11)</f>
        <v>0</v>
      </c>
      <c r="V12" s="1">
        <f>IF(B12&gt;Input!D$15,0,S11*Input!D$12)</f>
        <v>0</v>
      </c>
      <c r="W12" s="1">
        <f t="shared" si="3"/>
        <v>0</v>
      </c>
      <c r="X12" s="1">
        <f t="shared" si="5"/>
        <v>0</v>
      </c>
      <c r="Y12" s="1">
        <f>IF(B12&gt;Input!D$15,0,Input!D$7*Input!D$13)</f>
        <v>0</v>
      </c>
      <c r="Z12" s="15">
        <f t="shared" ca="1" si="4"/>
        <v>2035</v>
      </c>
    </row>
    <row r="13" spans="1:26" x14ac:dyDescent="0.3">
      <c r="A13" t="s">
        <v>14</v>
      </c>
      <c r="B13">
        <v>12</v>
      </c>
      <c r="C13" s="1">
        <f>IF(B13&gt;Input!D$15,0,M12)</f>
        <v>0</v>
      </c>
      <c r="D13" s="15">
        <f>IF(B13&gt;Input!D$15,0,(D12-(Y12-J12)+(F12-H12)+(G12-I12)-IFERROR(K12*((Y12-J12)/Y12),0))+IF(Input!H$16="Yes",MIN(Q12,L12),0))</f>
        <v>0</v>
      </c>
      <c r="E13" s="1">
        <f>IF(B13&gt;Input!D$15,0,C13*Input!D$10)</f>
        <v>0</v>
      </c>
      <c r="F13" s="1">
        <f>IF(B13&gt;Input!D$15,0,C13*Input!D$11)</f>
        <v>0</v>
      </c>
      <c r="G13" s="1">
        <f>IF(R13=0,0,C13*Input!D$12)</f>
        <v>0</v>
      </c>
      <c r="H13" s="1">
        <f>IF((F13-N13)*Input!H$15&lt;0,0,(F13-N13)*Input!H$15)</f>
        <v>0</v>
      </c>
      <c r="I13" s="1">
        <f>IF(G13-O13&lt;=0,0,(G13-O13)*Input!J$18)</f>
        <v>0</v>
      </c>
      <c r="J13" s="1">
        <f>MAX(IFERROR(IF(B13&gt;Input!D$15,0,Y13-(Y13*((D13+F13+G13)/(C13+(C13*Input!D$8))))),0),0)</f>
        <v>0</v>
      </c>
      <c r="K13" s="15">
        <f>MAX(0,(J13-P13)*Input!K$15)</f>
        <v>0</v>
      </c>
      <c r="L13" s="1">
        <f t="shared" si="0"/>
        <v>0</v>
      </c>
      <c r="M13" s="1">
        <f t="shared" si="1"/>
        <v>0</v>
      </c>
      <c r="N13" s="57">
        <f>IF(C13=0,0,SUM(IF(Input!H$15=0.2,VLOOKUP(Z13,Allowances!A:D,4,FALSE)-(VLOOKUP(Z13,Allowances!A:D,4,FALSE)*Input!H$12),IF(Input!H$15=0.4,VLOOKUP(Z13,Allowances!A:D,4,FALSE)/2-((VLOOKUP(Z13,Allowances!A:D,4,FALSE)*Input!H$12)/2),IF(Input!H$15=0.45,0,IF(Input!H$15=0,VLOOKUP(Z13,Allowances!A:D,4,FALSE)-(VLOOKUP(Z13,Allowances!A:D,4,FALSE)*Input!H$12),0))))))</f>
        <v>0</v>
      </c>
      <c r="O13" s="57">
        <f>IF(C13=0,0,VLOOKUP(Z13,Allowances!A:D,3,FALSE)-VLOOKUP(Z13,Allowances!A:D,3,FALSE)*Input!H$11)</f>
        <v>0</v>
      </c>
      <c r="P13" s="57">
        <f>IF(B13&gt;Input!D$15,0,VLOOKUP(Z13,Allowances!A:D,2,FALSE)-(VLOOKUP(Z13,Allowances!A:D,2,FALSE)*Input!H$13))</f>
        <v>0</v>
      </c>
      <c r="Q13" s="1">
        <f t="shared" si="2"/>
        <v>0</v>
      </c>
      <c r="R13" s="1">
        <f>IF(Input!D$15&lt;B13,0,R12+(R12*Input!D$8)-Y13)</f>
        <v>0</v>
      </c>
      <c r="S13" s="1">
        <f>IF(B13&gt;Input!D$15,0,S12+SUM(T13:V13)-SUM(W13:X13)-Y13)</f>
        <v>0</v>
      </c>
      <c r="T13" s="1">
        <f>IF(R13=0,0,S12*Input!D$10)</f>
        <v>0</v>
      </c>
      <c r="U13" s="1">
        <f>IF(B13&gt;Input!D$15,0,S12*Input!D$11)</f>
        <v>0</v>
      </c>
      <c r="V13" s="1">
        <f>IF(B13&gt;Input!D$15,0,S12*Input!D$12)</f>
        <v>0</v>
      </c>
      <c r="W13" s="1">
        <f t="shared" si="3"/>
        <v>0</v>
      </c>
      <c r="X13" s="1">
        <f t="shared" si="5"/>
        <v>0</v>
      </c>
      <c r="Y13" s="1">
        <f>IF(B13&gt;Input!D$15,0,Input!D$7*Input!D$13)</f>
        <v>0</v>
      </c>
      <c r="Z13" s="15">
        <f t="shared" ca="1" si="4"/>
        <v>2036</v>
      </c>
    </row>
    <row r="14" spans="1:26" x14ac:dyDescent="0.3">
      <c r="A14" t="s">
        <v>14</v>
      </c>
      <c r="B14">
        <v>13</v>
      </c>
      <c r="C14" s="1">
        <f>IF(B14&gt;Input!D$15,0,M13)</f>
        <v>0</v>
      </c>
      <c r="D14" s="15">
        <f>IF(B14&gt;Input!D$15,0,(D13-(Y13-J13)+(F13-H13)+(G13-I13)-IFERROR(K13*((Y13-J13)/Y13),0))+IF(Input!H$16="Yes",MIN(Q13,L13),0))</f>
        <v>0</v>
      </c>
      <c r="E14" s="1">
        <f>IF(B14&gt;Input!D$15,0,C14*Input!D$10)</f>
        <v>0</v>
      </c>
      <c r="F14" s="1">
        <f>IF(B14&gt;Input!D$15,0,C14*Input!D$11)</f>
        <v>0</v>
      </c>
      <c r="G14" s="1">
        <f>IF(R14=0,0,C14*Input!D$12)</f>
        <v>0</v>
      </c>
      <c r="H14" s="1">
        <f>IF((F14-N14)*Input!H$15&lt;0,0,(F14-N14)*Input!H$15)</f>
        <v>0</v>
      </c>
      <c r="I14" s="1">
        <f>IF(G14-O14&lt;=0,0,(G14-O14)*Input!J$18)</f>
        <v>0</v>
      </c>
      <c r="J14" s="1">
        <f>MAX(IFERROR(IF(B14&gt;Input!D$15,0,Y14-(Y14*((D14+F14+G14)/(C14+(C14*Input!D$8))))),0),0)</f>
        <v>0</v>
      </c>
      <c r="K14" s="15">
        <f>MAX(0,(J14-P14)*Input!K$15)</f>
        <v>0</v>
      </c>
      <c r="L14" s="1">
        <f t="shared" si="0"/>
        <v>0</v>
      </c>
      <c r="M14" s="1">
        <f t="shared" si="1"/>
        <v>0</v>
      </c>
      <c r="N14" s="57">
        <f>IF(C14=0,0,SUM(IF(Input!H$15=0.2,VLOOKUP(Z14,Allowances!A:D,4,FALSE)-(VLOOKUP(Z14,Allowances!A:D,4,FALSE)*Input!H$12),IF(Input!H$15=0.4,VLOOKUP(Z14,Allowances!A:D,4,FALSE)/2-((VLOOKUP(Z14,Allowances!A:D,4,FALSE)*Input!H$12)/2),IF(Input!H$15=0.45,0,IF(Input!H$15=0,VLOOKUP(Z14,Allowances!A:D,4,FALSE)-(VLOOKUP(Z14,Allowances!A:D,4,FALSE)*Input!H$12),0))))))</f>
        <v>0</v>
      </c>
      <c r="O14" s="57">
        <f>IF(C14=0,0,VLOOKUP(Z14,Allowances!A:D,3,FALSE)-VLOOKUP(Z14,Allowances!A:D,3,FALSE)*Input!H$11)</f>
        <v>0</v>
      </c>
      <c r="P14" s="57">
        <f>IF(B14&gt;Input!D$15,0,VLOOKUP(Z14,Allowances!A:D,2,FALSE)-(VLOOKUP(Z14,Allowances!A:D,2,FALSE)*Input!H$13))</f>
        <v>0</v>
      </c>
      <c r="Q14" s="1">
        <f t="shared" si="2"/>
        <v>0</v>
      </c>
      <c r="R14" s="1">
        <f>IF(Input!D$15&lt;B14,0,R13+(R13*Input!D$8)-Y14)</f>
        <v>0</v>
      </c>
      <c r="S14" s="1">
        <f>IF(B14&gt;Input!D$15,0,S13+SUM(T14:V14)-SUM(W14:X14)-Y14)</f>
        <v>0</v>
      </c>
      <c r="T14" s="1">
        <f>IF(R14=0,0,S13*Input!D$10)</f>
        <v>0</v>
      </c>
      <c r="U14" s="1">
        <f>IF(B14&gt;Input!D$15,0,S13*Input!D$11)</f>
        <v>0</v>
      </c>
      <c r="V14" s="1">
        <f>IF(B14&gt;Input!D$15,0,S13*Input!D$12)</f>
        <v>0</v>
      </c>
      <c r="W14" s="1">
        <f t="shared" si="3"/>
        <v>0</v>
      </c>
      <c r="X14" s="1">
        <f t="shared" si="5"/>
        <v>0</v>
      </c>
      <c r="Y14" s="1">
        <f>IF(B14&gt;Input!D$15,0,Input!D$7*Input!D$13)</f>
        <v>0</v>
      </c>
      <c r="Z14" s="15">
        <f t="shared" ca="1" si="4"/>
        <v>2037</v>
      </c>
    </row>
    <row r="15" spans="1:26" x14ac:dyDescent="0.3">
      <c r="A15" t="s">
        <v>14</v>
      </c>
      <c r="B15">
        <v>14</v>
      </c>
      <c r="C15" s="1">
        <f>IF(B15&gt;Input!D$15,0,M14)</f>
        <v>0</v>
      </c>
      <c r="D15" s="15">
        <f>IF(B15&gt;Input!D$15,0,(D14-(Y14-J14)+(F14-H14)+(G14-I14)-IFERROR(K14*((Y14-J14)/Y14),0))+IF(Input!H$16="Yes",MIN(Q14,L14),0))</f>
        <v>0</v>
      </c>
      <c r="E15" s="1">
        <f>IF(B15&gt;Input!D$15,0,C15*Input!D$10)</f>
        <v>0</v>
      </c>
      <c r="F15" s="1">
        <f>IF(B15&gt;Input!D$15,0,C15*Input!D$11)</f>
        <v>0</v>
      </c>
      <c r="G15" s="1">
        <f>IF(R15=0,0,C15*Input!D$12)</f>
        <v>0</v>
      </c>
      <c r="H15" s="1">
        <f>IF((F15-N15)*Input!H$15&lt;0,0,(F15-N15)*Input!H$15)</f>
        <v>0</v>
      </c>
      <c r="I15" s="1">
        <f>IF(G15-O15&lt;=0,0,(G15-O15)*Input!J$18)</f>
        <v>0</v>
      </c>
      <c r="J15" s="1">
        <f>MAX(IFERROR(IF(B15&gt;Input!D$15,0,Y15-(Y15*((D15+F15+G15)/(C15+(C15*Input!D$8))))),0),0)</f>
        <v>0</v>
      </c>
      <c r="K15" s="15">
        <f>MAX(0,(J15-P15)*Input!K$15)</f>
        <v>0</v>
      </c>
      <c r="L15" s="1">
        <f t="shared" si="0"/>
        <v>0</v>
      </c>
      <c r="M15" s="1">
        <f t="shared" si="1"/>
        <v>0</v>
      </c>
      <c r="N15" s="57">
        <f>IF(C15=0,0,SUM(IF(Input!H$15=0.2,VLOOKUP(Z15,Allowances!A:D,4,FALSE)-(VLOOKUP(Z15,Allowances!A:D,4,FALSE)*Input!H$12),IF(Input!H$15=0.4,VLOOKUP(Z15,Allowances!A:D,4,FALSE)/2-((VLOOKUP(Z15,Allowances!A:D,4,FALSE)*Input!H$12)/2),IF(Input!H$15=0.45,0,IF(Input!H$15=0,VLOOKUP(Z15,Allowances!A:D,4,FALSE)-(VLOOKUP(Z15,Allowances!A:D,4,FALSE)*Input!H$12),0))))))</f>
        <v>0</v>
      </c>
      <c r="O15" s="57">
        <f>IF(C15=0,0,VLOOKUP(Z15,Allowances!A:D,3,FALSE)-VLOOKUP(Z15,Allowances!A:D,3,FALSE)*Input!H$11)</f>
        <v>0</v>
      </c>
      <c r="P15" s="57">
        <f>IF(B15&gt;Input!D$15,0,VLOOKUP(Z15,Allowances!A:D,2,FALSE)-(VLOOKUP(Z15,Allowances!A:D,2,FALSE)*Input!H$13))</f>
        <v>0</v>
      </c>
      <c r="Q15" s="1">
        <f t="shared" si="2"/>
        <v>0</v>
      </c>
      <c r="R15" s="1">
        <f>IF(Input!D$15&lt;B15,0,R14+(R14*Input!D$8)-Y15)</f>
        <v>0</v>
      </c>
      <c r="S15" s="1">
        <f>IF(B15&gt;Input!D$15,0,S14+SUM(T15:V15)-SUM(W15:X15)-Y15)</f>
        <v>0</v>
      </c>
      <c r="T15" s="1">
        <f>IF(R15=0,0,S14*Input!D$10)</f>
        <v>0</v>
      </c>
      <c r="U15" s="1">
        <f>IF(B15&gt;Input!D$15,0,S14*Input!D$11)</f>
        <v>0</v>
      </c>
      <c r="V15" s="1">
        <f>IF(B15&gt;Input!D$15,0,S14*Input!D$12)</f>
        <v>0</v>
      </c>
      <c r="W15" s="1">
        <f t="shared" si="3"/>
        <v>0</v>
      </c>
      <c r="X15" s="1">
        <f t="shared" si="5"/>
        <v>0</v>
      </c>
      <c r="Y15" s="1">
        <f>IF(B15&gt;Input!D$15,0,Input!D$7*Input!D$13)</f>
        <v>0</v>
      </c>
      <c r="Z15" s="15">
        <f t="shared" ca="1" si="4"/>
        <v>2038</v>
      </c>
    </row>
    <row r="16" spans="1:26" x14ac:dyDescent="0.3">
      <c r="A16" t="s">
        <v>14</v>
      </c>
      <c r="B16">
        <v>15</v>
      </c>
      <c r="C16" s="1">
        <f>IF(B16&gt;Input!D$15,0,M15)</f>
        <v>0</v>
      </c>
      <c r="D16" s="15">
        <f>IF(B16&gt;Input!D$15,0,(D15-(Y15-J15)+(F15-H15)+(G15-I15)-IFERROR(K15*((Y15-J15)/Y15),0))+IF(Input!H$16="Yes",MIN(Q15,L15),0))</f>
        <v>0</v>
      </c>
      <c r="E16" s="1">
        <f>IF(B16&gt;Input!D$15,0,C16*Input!D$10)</f>
        <v>0</v>
      </c>
      <c r="F16" s="1">
        <f>IF(B16&gt;Input!D$15,0,C16*Input!D$11)</f>
        <v>0</v>
      </c>
      <c r="G16" s="1">
        <f>IF(R16=0,0,C16*Input!D$12)</f>
        <v>0</v>
      </c>
      <c r="H16" s="1">
        <f>IF((F16-N16)*Input!H$15&lt;0,0,(F16-N16)*Input!H$15)</f>
        <v>0</v>
      </c>
      <c r="I16" s="1">
        <f>IF(G16-O16&lt;=0,0,(G16-O16)*Input!J$18)</f>
        <v>0</v>
      </c>
      <c r="J16" s="1">
        <f>MAX(IFERROR(IF(B16&gt;Input!D$15,0,Y16-(Y16*((D16+F16+G16)/(C16+(C16*Input!D$8))))),0),0)</f>
        <v>0</v>
      </c>
      <c r="K16" s="15">
        <f>MAX(0,(J16-P16)*Input!K$15)</f>
        <v>0</v>
      </c>
      <c r="L16" s="1">
        <f t="shared" si="0"/>
        <v>0</v>
      </c>
      <c r="M16" s="1">
        <f t="shared" si="1"/>
        <v>0</v>
      </c>
      <c r="N16" s="57">
        <f>IF(C16=0,0,SUM(IF(Input!H$15=0.2,VLOOKUP(Z16,Allowances!A:D,4,FALSE)-(VLOOKUP(Z16,Allowances!A:D,4,FALSE)*Input!H$12),IF(Input!H$15=0.4,VLOOKUP(Z16,Allowances!A:D,4,FALSE)/2-((VLOOKUP(Z16,Allowances!A:D,4,FALSE)*Input!H$12)/2),IF(Input!H$15=0.45,0,IF(Input!H$15=0,VLOOKUP(Z16,Allowances!A:D,4,FALSE)-(VLOOKUP(Z16,Allowances!A:D,4,FALSE)*Input!H$12),0))))))</f>
        <v>0</v>
      </c>
      <c r="O16" s="57">
        <f>IF(C16=0,0,VLOOKUP(Z16,Allowances!A:D,3,FALSE)-VLOOKUP(Z16,Allowances!A:D,3,FALSE)*Input!H$11)</f>
        <v>0</v>
      </c>
      <c r="P16" s="57">
        <f>IF(B16&gt;Input!D$15,0,VLOOKUP(Z16,Allowances!A:D,2,FALSE)-(VLOOKUP(Z16,Allowances!A:D,2,FALSE)*Input!H$13))</f>
        <v>0</v>
      </c>
      <c r="Q16" s="1">
        <f t="shared" si="2"/>
        <v>0</v>
      </c>
      <c r="R16" s="1">
        <f>IF(Input!D$15&lt;B16,0,R15+(R15*Input!D$8)-Y16)</f>
        <v>0</v>
      </c>
      <c r="S16" s="1">
        <f>IF(B16&gt;Input!D$15,0,S15+SUM(T16:V16)-SUM(W16:X16)-Y16)</f>
        <v>0</v>
      </c>
      <c r="T16" s="1">
        <f>IF(R16=0,0,S15*Input!D$10)</f>
        <v>0</v>
      </c>
      <c r="U16" s="1">
        <f>IF(B16&gt;Input!D$15,0,S15*Input!D$11)</f>
        <v>0</v>
      </c>
      <c r="V16" s="1">
        <f>IF(B16&gt;Input!D$15,0,S15*Input!D$12)</f>
        <v>0</v>
      </c>
      <c r="W16" s="1">
        <f t="shared" si="3"/>
        <v>0</v>
      </c>
      <c r="X16" s="1">
        <f t="shared" si="5"/>
        <v>0</v>
      </c>
      <c r="Y16" s="1">
        <f>IF(B16&gt;Input!D$15,0,Input!D$7*Input!D$13)</f>
        <v>0</v>
      </c>
      <c r="Z16" s="15">
        <f t="shared" ca="1" si="4"/>
        <v>2039</v>
      </c>
    </row>
    <row r="17" spans="1:26" x14ac:dyDescent="0.3">
      <c r="A17" t="s">
        <v>14</v>
      </c>
      <c r="B17">
        <v>16</v>
      </c>
      <c r="C17" s="1">
        <f>IF(B17&gt;Input!D$15,0,M16)</f>
        <v>0</v>
      </c>
      <c r="D17" s="15">
        <f>IF(B17&gt;Input!D$15,0,(D16-(Y16-J16)+(F16-H16)+(G16-I16)-IFERROR(K16*((Y16-J16)/Y16),0))+IF(Input!H$16="Yes",MIN(Q16,L16),0))</f>
        <v>0</v>
      </c>
      <c r="E17" s="1">
        <f>IF(B17&gt;Input!D$15,0,C17*Input!D$10)</f>
        <v>0</v>
      </c>
      <c r="F17" s="1">
        <f>IF(B17&gt;Input!D$15,0,C17*Input!D$11)</f>
        <v>0</v>
      </c>
      <c r="G17" s="1">
        <f>IF(R17=0,0,C17*Input!D$12)</f>
        <v>0</v>
      </c>
      <c r="H17" s="1">
        <f>IF((F17-N17)*Input!H$15&lt;0,0,(F17-N17)*Input!H$15)</f>
        <v>0</v>
      </c>
      <c r="I17" s="1">
        <f>IF(G17-O17&lt;=0,0,(G17-O17)*Input!J$18)</f>
        <v>0</v>
      </c>
      <c r="J17" s="1">
        <f>MAX(IFERROR(IF(B17&gt;Input!D$15,0,Y17-(Y17*((D17+F17+G17)/(C17+(C17*Input!D$8))))),0),0)</f>
        <v>0</v>
      </c>
      <c r="K17" s="15">
        <f>MAX(0,(J17-P17)*Input!K$15)</f>
        <v>0</v>
      </c>
      <c r="L17" s="1">
        <f t="shared" si="0"/>
        <v>0</v>
      </c>
      <c r="M17" s="1">
        <f t="shared" si="1"/>
        <v>0</v>
      </c>
      <c r="N17" s="57">
        <f>IF(C17=0,0,SUM(IF(Input!H$15=0.2,VLOOKUP(Z17,Allowances!A:D,4,FALSE)-(VLOOKUP(Z17,Allowances!A:D,4,FALSE)*Input!H$12),IF(Input!H$15=0.4,VLOOKUP(Z17,Allowances!A:D,4,FALSE)/2-((VLOOKUP(Z17,Allowances!A:D,4,FALSE)*Input!H$12)/2),IF(Input!H$15=0.45,0,IF(Input!H$15=0,VLOOKUP(Z17,Allowances!A:D,4,FALSE)-(VLOOKUP(Z17,Allowances!A:D,4,FALSE)*Input!H$12),0))))))</f>
        <v>0</v>
      </c>
      <c r="O17" s="57">
        <f>IF(C17=0,0,VLOOKUP(Z17,Allowances!A:D,3,FALSE)-VLOOKUP(Z17,Allowances!A:D,3,FALSE)*Input!H$11)</f>
        <v>0</v>
      </c>
      <c r="P17" s="57">
        <f>IF(B17&gt;Input!D$15,0,VLOOKUP(Z17,Allowances!A:D,2,FALSE)-(VLOOKUP(Z17,Allowances!A:D,2,FALSE)*Input!H$13))</f>
        <v>0</v>
      </c>
      <c r="Q17" s="1">
        <f t="shared" si="2"/>
        <v>0</v>
      </c>
      <c r="R17" s="1">
        <f>IF(Input!D$15&lt;B17,0,R16+(R16*Input!D$8)-Y17)</f>
        <v>0</v>
      </c>
      <c r="S17" s="1">
        <f>IF(B17&gt;Input!D$15,0,S16+SUM(T17:V17)-SUM(W17:X17)-Y17)</f>
        <v>0</v>
      </c>
      <c r="T17" s="1">
        <f>IF(R17=0,0,S16*Input!D$10)</f>
        <v>0</v>
      </c>
      <c r="U17" s="1">
        <f>IF(B17&gt;Input!D$15,0,S16*Input!D$11)</f>
        <v>0</v>
      </c>
      <c r="V17" s="1">
        <f>IF(B17&gt;Input!D$15,0,S16*Input!D$12)</f>
        <v>0</v>
      </c>
      <c r="W17" s="1">
        <f t="shared" si="3"/>
        <v>0</v>
      </c>
      <c r="X17" s="1">
        <f t="shared" si="5"/>
        <v>0</v>
      </c>
      <c r="Y17" s="1">
        <f>IF(B17&gt;Input!D$15,0,Input!D$7*Input!D$13)</f>
        <v>0</v>
      </c>
      <c r="Z17" s="15">
        <f t="shared" ca="1" si="4"/>
        <v>2040</v>
      </c>
    </row>
    <row r="18" spans="1:26" x14ac:dyDescent="0.3">
      <c r="A18" t="s">
        <v>14</v>
      </c>
      <c r="B18">
        <v>17</v>
      </c>
      <c r="C18" s="1">
        <f>IF(B18&gt;Input!D$15,0,M17)</f>
        <v>0</v>
      </c>
      <c r="D18" s="15">
        <f>IF(B18&gt;Input!D$15,0,(D17-(Y17-J17)+(F17-H17)+(G17-I17)-IFERROR(K17*((Y17-J17)/Y17),0))+IF(Input!H$16="Yes",MIN(Q17,L17),0))</f>
        <v>0</v>
      </c>
      <c r="E18" s="1">
        <f>IF(B18&gt;Input!D$15,0,C18*Input!D$10)</f>
        <v>0</v>
      </c>
      <c r="F18" s="1">
        <f>IF(B18&gt;Input!D$15,0,C18*Input!D$11)</f>
        <v>0</v>
      </c>
      <c r="G18" s="1">
        <f>IF(R18=0,0,C18*Input!D$12)</f>
        <v>0</v>
      </c>
      <c r="H18" s="1">
        <f>IF((F18-N18)*Input!H$15&lt;0,0,(F18-N18)*Input!H$15)</f>
        <v>0</v>
      </c>
      <c r="I18" s="1">
        <f>IF(G18-O18&lt;=0,0,(G18-O18)*Input!J$18)</f>
        <v>0</v>
      </c>
      <c r="J18" s="1">
        <f>MAX(IFERROR(IF(B18&gt;Input!D$15,0,Y18-(Y18*((D18+F18+G18)/(C18+(C18*Input!D$8))))),0),0)</f>
        <v>0</v>
      </c>
      <c r="K18" s="15">
        <f>MAX(0,(J18-P18)*Input!K$15)</f>
        <v>0</v>
      </c>
      <c r="L18" s="1">
        <f t="shared" si="0"/>
        <v>0</v>
      </c>
      <c r="M18" s="1">
        <f t="shared" si="1"/>
        <v>0</v>
      </c>
      <c r="N18" s="57">
        <f>IF(C18=0,0,SUM(IF(Input!H$15=0.2,VLOOKUP(Z18,Allowances!A:D,4,FALSE)-(VLOOKUP(Z18,Allowances!A:D,4,FALSE)*Input!H$12),IF(Input!H$15=0.4,VLOOKUP(Z18,Allowances!A:D,4,FALSE)/2-((VLOOKUP(Z18,Allowances!A:D,4,FALSE)*Input!H$12)/2),IF(Input!H$15=0.45,0,IF(Input!H$15=0,VLOOKUP(Z18,Allowances!A:D,4,FALSE)-(VLOOKUP(Z18,Allowances!A:D,4,FALSE)*Input!H$12),0))))))</f>
        <v>0</v>
      </c>
      <c r="O18" s="57">
        <f>IF(C18=0,0,VLOOKUP(Z18,Allowances!A:D,3,FALSE)-VLOOKUP(Z18,Allowances!A:D,3,FALSE)*Input!H$11)</f>
        <v>0</v>
      </c>
      <c r="P18" s="57">
        <f>IF(B18&gt;Input!D$15,0,VLOOKUP(Z18,Allowances!A:D,2,FALSE)-(VLOOKUP(Z18,Allowances!A:D,2,FALSE)*Input!H$13))</f>
        <v>0</v>
      </c>
      <c r="Q18" s="1">
        <f t="shared" si="2"/>
        <v>0</v>
      </c>
      <c r="R18" s="1">
        <f>IF(Input!D$15&lt;B18,0,R17+(R17*Input!D$8)-Y18)</f>
        <v>0</v>
      </c>
      <c r="S18" s="1">
        <f>IF(B18&gt;Input!D$15,0,S17+SUM(T18:V18)-SUM(W18:X18)-Y18)</f>
        <v>0</v>
      </c>
      <c r="T18" s="1">
        <f>IF(R18=0,0,S17*Input!D$10)</f>
        <v>0</v>
      </c>
      <c r="U18" s="1">
        <f>IF(B18&gt;Input!D$15,0,S17*Input!D$11)</f>
        <v>0</v>
      </c>
      <c r="V18" s="1">
        <f>IF(B18&gt;Input!D$15,0,S17*Input!D$12)</f>
        <v>0</v>
      </c>
      <c r="W18" s="1">
        <f t="shared" si="3"/>
        <v>0</v>
      </c>
      <c r="X18" s="1">
        <f t="shared" si="5"/>
        <v>0</v>
      </c>
      <c r="Y18" s="1">
        <f>IF(B18&gt;Input!D$15,0,Input!D$7*Input!D$13)</f>
        <v>0</v>
      </c>
      <c r="Z18" s="15">
        <f t="shared" ca="1" si="4"/>
        <v>2041</v>
      </c>
    </row>
    <row r="19" spans="1:26" x14ac:dyDescent="0.3">
      <c r="A19" t="s">
        <v>14</v>
      </c>
      <c r="B19">
        <v>18</v>
      </c>
      <c r="C19" s="1">
        <f>IF(B19&gt;Input!D$15,0,M18)</f>
        <v>0</v>
      </c>
      <c r="D19" s="15">
        <f>IF(B19&gt;Input!D$15,0,(D18-(Y18-J18)+(F18-H18)+(G18-I18)-IFERROR(K18*((Y18-J18)/Y18),0))+IF(Input!H$16="Yes",MIN(Q18,L18),0))</f>
        <v>0</v>
      </c>
      <c r="E19" s="1">
        <f>IF(B19&gt;Input!D$15,0,C19*Input!D$10)</f>
        <v>0</v>
      </c>
      <c r="F19" s="1">
        <f>IF(B19&gt;Input!D$15,0,C19*Input!D$11)</f>
        <v>0</v>
      </c>
      <c r="G19" s="1">
        <f>IF(R19=0,0,C19*Input!D$12)</f>
        <v>0</v>
      </c>
      <c r="H19" s="1">
        <f>IF((F19-N19)*Input!H$15&lt;0,0,(F19-N19)*Input!H$15)</f>
        <v>0</v>
      </c>
      <c r="I19" s="1">
        <f>IF(G19-O19&lt;=0,0,(G19-O19)*Input!J$18)</f>
        <v>0</v>
      </c>
      <c r="J19" s="1">
        <f>MAX(IFERROR(IF(B19&gt;Input!D$15,0,Y19-(Y19*((D19+F19+G19)/(C19+(C19*Input!D$8))))),0),0)</f>
        <v>0</v>
      </c>
      <c r="K19" s="15">
        <f>MAX(0,(J19-P19)*Input!K$15)</f>
        <v>0</v>
      </c>
      <c r="L19" s="1">
        <f t="shared" si="0"/>
        <v>0</v>
      </c>
      <c r="M19" s="1">
        <f t="shared" si="1"/>
        <v>0</v>
      </c>
      <c r="N19" s="57">
        <f>IF(C19=0,0,SUM(IF(Input!H$15=0.2,VLOOKUP(Z19,Allowances!A:D,4,FALSE)-(VLOOKUP(Z19,Allowances!A:D,4,FALSE)*Input!H$12),IF(Input!H$15=0.4,VLOOKUP(Z19,Allowances!A:D,4,FALSE)/2-((VLOOKUP(Z19,Allowances!A:D,4,FALSE)*Input!H$12)/2),IF(Input!H$15=0.45,0,IF(Input!H$15=0,VLOOKUP(Z19,Allowances!A:D,4,FALSE)-(VLOOKUP(Z19,Allowances!A:D,4,FALSE)*Input!H$12),0))))))</f>
        <v>0</v>
      </c>
      <c r="O19" s="57">
        <f>IF(C19=0,0,VLOOKUP(Z19,Allowances!A:D,3,FALSE)-VLOOKUP(Z19,Allowances!A:D,3,FALSE)*Input!H$11)</f>
        <v>0</v>
      </c>
      <c r="P19" s="57">
        <f>IF(B19&gt;Input!D$15,0,VLOOKUP(Z19,Allowances!A:D,2,FALSE)-(VLOOKUP(Z19,Allowances!A:D,2,FALSE)*Input!H$13))</f>
        <v>0</v>
      </c>
      <c r="Q19" s="1">
        <f t="shared" si="2"/>
        <v>0</v>
      </c>
      <c r="R19" s="1">
        <f>IF(Input!D$15&lt;B19,0,R18+(R18*Input!D$8)-Y19)</f>
        <v>0</v>
      </c>
      <c r="S19" s="1">
        <f>IF(B19&gt;Input!D$15,0,S18+SUM(T19:V19)-SUM(W19:X19)-Y19)</f>
        <v>0</v>
      </c>
      <c r="T19" s="1">
        <f>IF(R19=0,0,S18*Input!D$10)</f>
        <v>0</v>
      </c>
      <c r="U19" s="1">
        <f>IF(B19&gt;Input!D$15,0,S18*Input!D$11)</f>
        <v>0</v>
      </c>
      <c r="V19" s="1">
        <f>IF(B19&gt;Input!D$15,0,S18*Input!D$12)</f>
        <v>0</v>
      </c>
      <c r="W19" s="1">
        <f t="shared" si="3"/>
        <v>0</v>
      </c>
      <c r="X19" s="1">
        <f t="shared" si="5"/>
        <v>0</v>
      </c>
      <c r="Y19" s="1">
        <f>IF(B19&gt;Input!D$15,0,Input!D$7*Input!D$13)</f>
        <v>0</v>
      </c>
      <c r="Z19" s="15">
        <f t="shared" ca="1" si="4"/>
        <v>2042</v>
      </c>
    </row>
    <row r="20" spans="1:26" x14ac:dyDescent="0.3">
      <c r="A20" t="s">
        <v>14</v>
      </c>
      <c r="B20">
        <v>19</v>
      </c>
      <c r="C20" s="1">
        <f>IF(B20&gt;Input!D$15,0,M19)</f>
        <v>0</v>
      </c>
      <c r="D20" s="15">
        <f>IF(B20&gt;Input!D$15,0,(D19-(Y19-J19)+(F19-H19)+(G19-I19)-IFERROR(K19*((Y19-J19)/Y19),0))+IF(Input!H$16="Yes",MIN(Q19,L19),0))</f>
        <v>0</v>
      </c>
      <c r="E20" s="1">
        <f>IF(B20&gt;Input!D$15,0,C20*Input!D$10)</f>
        <v>0</v>
      </c>
      <c r="F20" s="1">
        <f>IF(B20&gt;Input!D$15,0,C20*Input!D$11)</f>
        <v>0</v>
      </c>
      <c r="G20" s="1">
        <f>IF(R20=0,0,C20*Input!D$12)</f>
        <v>0</v>
      </c>
      <c r="H20" s="1">
        <f>IF((F20-N20)*Input!H$15&lt;0,0,(F20-N20)*Input!H$15)</f>
        <v>0</v>
      </c>
      <c r="I20" s="1">
        <f>IF(G20-O20&lt;=0,0,(G20-O20)*Input!J$18)</f>
        <v>0</v>
      </c>
      <c r="J20" s="1">
        <f>MAX(IFERROR(IF(B20&gt;Input!D$15,0,Y20-(Y20*((D20+F20+G20)/(C20+(C20*Input!D$8))))),0),0)</f>
        <v>0</v>
      </c>
      <c r="K20" s="15">
        <f>MAX(0,(J20-P20)*Input!K$15)</f>
        <v>0</v>
      </c>
      <c r="L20" s="1">
        <f t="shared" si="0"/>
        <v>0</v>
      </c>
      <c r="M20" s="1">
        <f t="shared" si="1"/>
        <v>0</v>
      </c>
      <c r="N20" s="57">
        <f>IF(C20=0,0,SUM(IF(Input!H$15=0.2,VLOOKUP(Z20,Allowances!A:D,4,FALSE)-(VLOOKUP(Z20,Allowances!A:D,4,FALSE)*Input!H$12),IF(Input!H$15=0.4,VLOOKUP(Z20,Allowances!A:D,4,FALSE)/2-((VLOOKUP(Z20,Allowances!A:D,4,FALSE)*Input!H$12)/2),IF(Input!H$15=0.45,0,IF(Input!H$15=0,VLOOKUP(Z20,Allowances!A:D,4,FALSE)-(VLOOKUP(Z20,Allowances!A:D,4,FALSE)*Input!H$12),0))))))</f>
        <v>0</v>
      </c>
      <c r="O20" s="57">
        <f>IF(C20=0,0,VLOOKUP(Z20,Allowances!A:D,3,FALSE)-VLOOKUP(Z20,Allowances!A:D,3,FALSE)*Input!H$11)</f>
        <v>0</v>
      </c>
      <c r="P20" s="57">
        <f>IF(B20&gt;Input!D$15,0,VLOOKUP(Z20,Allowances!A:D,2,FALSE)-(VLOOKUP(Z20,Allowances!A:D,2,FALSE)*Input!H$13))</f>
        <v>0</v>
      </c>
      <c r="Q20" s="1">
        <f t="shared" si="2"/>
        <v>0</v>
      </c>
      <c r="R20" s="1">
        <f>IF(Input!D$15&lt;B20,0,R19+(R19*Input!D$8)-Y20)</f>
        <v>0</v>
      </c>
      <c r="S20" s="1">
        <f>IF(B20&gt;Input!D$15,0,S19+SUM(T20:V20)-SUM(W20:X20)-Y20)</f>
        <v>0</v>
      </c>
      <c r="T20" s="1">
        <f>IF(R20=0,0,S19*Input!D$10)</f>
        <v>0</v>
      </c>
      <c r="U20" s="1">
        <f>IF(B20&gt;Input!D$15,0,S19*Input!D$11)</f>
        <v>0</v>
      </c>
      <c r="V20" s="1">
        <f>IF(B20&gt;Input!D$15,0,S19*Input!D$12)</f>
        <v>0</v>
      </c>
      <c r="W20" s="1">
        <f t="shared" si="3"/>
        <v>0</v>
      </c>
      <c r="X20" s="1">
        <f t="shared" si="5"/>
        <v>0</v>
      </c>
      <c r="Y20" s="1">
        <f>IF(B20&gt;Input!D$15,0,Input!D$7*Input!D$13)</f>
        <v>0</v>
      </c>
      <c r="Z20" s="15">
        <f t="shared" ca="1" si="4"/>
        <v>2043</v>
      </c>
    </row>
    <row r="21" spans="1:26" x14ac:dyDescent="0.3">
      <c r="A21" t="s">
        <v>14</v>
      </c>
      <c r="B21">
        <v>20</v>
      </c>
      <c r="C21" s="1">
        <f>IF(B21&gt;Input!D$15,0,M20)</f>
        <v>0</v>
      </c>
      <c r="D21" s="15">
        <f>IF(B21&gt;Input!D$15,0,(D20-(Y20-J20)+(F20-H20)+(G20-I20)-IFERROR(K20*((Y20-J20)/Y20),0))+IF(Input!H$16="Yes",MIN(Q20,L20),0))</f>
        <v>0</v>
      </c>
      <c r="E21" s="1">
        <f>IF(B21&gt;Input!D$15,0,C21*Input!D$10)</f>
        <v>0</v>
      </c>
      <c r="F21" s="1">
        <f>IF(B21&gt;Input!D$15,0,C21*Input!D$11)</f>
        <v>0</v>
      </c>
      <c r="G21" s="1">
        <f>IF(R21=0,0,C21*Input!D$12)</f>
        <v>0</v>
      </c>
      <c r="H21" s="1">
        <f>IF((F21-N21)*Input!H$15&lt;0,0,(F21-N21)*Input!H$15)</f>
        <v>0</v>
      </c>
      <c r="I21" s="1">
        <f>IF(G21-O21&lt;=0,0,(G21-O21)*Input!J$18)</f>
        <v>0</v>
      </c>
      <c r="J21" s="1">
        <f>MAX(IFERROR(IF(B21&gt;Input!D$15,0,Y21-(Y21*((D21+F21+G21)/(C21+(C21*Input!D$8))))),0),0)</f>
        <v>0</v>
      </c>
      <c r="K21" s="15">
        <f>MAX(0,(J21-P21)*Input!K$15)</f>
        <v>0</v>
      </c>
      <c r="L21" s="1">
        <f t="shared" si="0"/>
        <v>0</v>
      </c>
      <c r="M21" s="1">
        <f t="shared" si="1"/>
        <v>0</v>
      </c>
      <c r="N21" s="57">
        <f>IF(C21=0,0,SUM(IF(Input!H$15=0.2,VLOOKUP(Z21,Allowances!A:D,4,FALSE)-(VLOOKUP(Z21,Allowances!A:D,4,FALSE)*Input!H$12),IF(Input!H$15=0.4,VLOOKUP(Z21,Allowances!A:D,4,FALSE)/2-((VLOOKUP(Z21,Allowances!A:D,4,FALSE)*Input!H$12)/2),IF(Input!H$15=0.45,0,IF(Input!H$15=0,VLOOKUP(Z21,Allowances!A:D,4,FALSE)-(VLOOKUP(Z21,Allowances!A:D,4,FALSE)*Input!H$12),0))))))</f>
        <v>0</v>
      </c>
      <c r="O21" s="57">
        <f>IF(C21=0,0,VLOOKUP(Z21,Allowances!A:D,3,FALSE)-VLOOKUP(Z21,Allowances!A:D,3,FALSE)*Input!H$11)</f>
        <v>0</v>
      </c>
      <c r="P21" s="57">
        <f>IF(B21&gt;Input!D$15,0,VLOOKUP(Z21,Allowances!A:D,2,FALSE)-(VLOOKUP(Z21,Allowances!A:D,2,FALSE)*Input!H$13))</f>
        <v>0</v>
      </c>
      <c r="Q21" s="1">
        <f t="shared" si="2"/>
        <v>0</v>
      </c>
      <c r="R21" s="1">
        <f>IF(Input!D$15&lt;B21,0,R20+(R20*Input!D$8)-Y21)</f>
        <v>0</v>
      </c>
      <c r="S21" s="1">
        <f>IF(B21&gt;Input!D$15,0,S20+SUM(T21:V21)-SUM(W21:X21)-Y21)</f>
        <v>0</v>
      </c>
      <c r="T21" s="1">
        <f>IF(R21=0,0,S20*Input!D$10)</f>
        <v>0</v>
      </c>
      <c r="U21" s="1">
        <f>IF(B21&gt;Input!D$15,0,S20*Input!D$11)</f>
        <v>0</v>
      </c>
      <c r="V21" s="1">
        <f>IF(B21&gt;Input!D$15,0,S20*Input!D$12)</f>
        <v>0</v>
      </c>
      <c r="W21" s="1">
        <f t="shared" si="3"/>
        <v>0</v>
      </c>
      <c r="X21" s="1">
        <f t="shared" si="5"/>
        <v>0</v>
      </c>
      <c r="Y21" s="1">
        <f>IF(B21&gt;Input!D$15,0,Input!D$7*Input!D$13)</f>
        <v>0</v>
      </c>
      <c r="Z21" s="15">
        <f t="shared" ca="1" si="4"/>
        <v>2044</v>
      </c>
    </row>
    <row r="22" spans="1:26" x14ac:dyDescent="0.3">
      <c r="A22" t="s">
        <v>14</v>
      </c>
      <c r="B22">
        <v>21</v>
      </c>
      <c r="C22" s="1">
        <f>IF(B22&gt;Input!D$15,0,M21)</f>
        <v>0</v>
      </c>
      <c r="D22" s="15">
        <f>IF(B22&gt;Input!D$15,0,(D21-(Y21-J21)+(F21-H21)+(G21-I21)-IFERROR(K21*((Y21-J21)/Y21),0))+IF(Input!H$16="Yes",MIN(Q21,L21),0))</f>
        <v>0</v>
      </c>
      <c r="E22" s="1">
        <f>IF(B22&gt;Input!D$15,0,C22*Input!D$10)</f>
        <v>0</v>
      </c>
      <c r="F22" s="1">
        <f>IF(B22&gt;Input!D$15,0,C22*Input!D$11)</f>
        <v>0</v>
      </c>
      <c r="G22" s="1">
        <f>IF(R22=0,0,C22*Input!D$12)</f>
        <v>0</v>
      </c>
      <c r="H22" s="1">
        <f>IF((F22-N22)*Input!H$15&lt;0,0,(F22-N22)*Input!H$15)</f>
        <v>0</v>
      </c>
      <c r="I22" s="1">
        <f>IF(G22-O22&lt;=0,0,(G22-O22)*Input!J$18)</f>
        <v>0</v>
      </c>
      <c r="J22" s="1">
        <f>MAX(IFERROR(IF(B22&gt;Input!D$15,0,Y22-(Y22*((D22+F22+G22)/(C22+(C22*Input!D$8))))),0),0)</f>
        <v>0</v>
      </c>
      <c r="K22" s="15">
        <f>MAX(0,(J22-P22)*Input!K$15)</f>
        <v>0</v>
      </c>
      <c r="L22" s="1">
        <f t="shared" si="0"/>
        <v>0</v>
      </c>
      <c r="M22" s="1">
        <f t="shared" si="1"/>
        <v>0</v>
      </c>
      <c r="N22" s="57">
        <f>IF(C22=0,0,SUM(IF(Input!H$15=0.2,VLOOKUP(Z22,Allowances!A:D,4,FALSE)-(VLOOKUP(Z22,Allowances!A:D,4,FALSE)*Input!H$12),IF(Input!H$15=0.4,VLOOKUP(Z22,Allowances!A:D,4,FALSE)/2-((VLOOKUP(Z22,Allowances!A:D,4,FALSE)*Input!H$12)/2),IF(Input!H$15=0.45,0,IF(Input!H$15=0,VLOOKUP(Z22,Allowances!A:D,4,FALSE)-(VLOOKUP(Z22,Allowances!A:D,4,FALSE)*Input!H$12),0))))))</f>
        <v>0</v>
      </c>
      <c r="O22" s="57">
        <f>IF(C22=0,0,VLOOKUP(Z22,Allowances!A:D,3,FALSE)-VLOOKUP(Z22,Allowances!A:D,3,FALSE)*Input!H$11)</f>
        <v>0</v>
      </c>
      <c r="P22" s="57">
        <f>IF(B22&gt;Input!D$15,0,VLOOKUP(Z22,Allowances!A:D,2,FALSE)-(VLOOKUP(Z22,Allowances!A:D,2,FALSE)*Input!H$13))</f>
        <v>0</v>
      </c>
      <c r="Q22" s="1">
        <f t="shared" si="2"/>
        <v>0</v>
      </c>
      <c r="R22" s="1">
        <f>IF(Input!D$15&lt;B22,0,R21+(R21*Input!D$8)-Y22)</f>
        <v>0</v>
      </c>
      <c r="S22" s="1">
        <f>IF(B22&gt;Input!D$15,0,S21+SUM(T22:V22)-SUM(W22:X22)-Y22)</f>
        <v>0</v>
      </c>
      <c r="T22" s="1">
        <f>IF(R22=0,0,S21*Input!D$10)</f>
        <v>0</v>
      </c>
      <c r="U22" s="1">
        <f>IF(B22&gt;Input!D$15,0,S21*Input!D$11)</f>
        <v>0</v>
      </c>
      <c r="V22" s="1">
        <f>IF(B22&gt;Input!D$15,0,S21*Input!D$12)</f>
        <v>0</v>
      </c>
      <c r="W22" s="1">
        <f t="shared" si="3"/>
        <v>0</v>
      </c>
      <c r="X22" s="1">
        <f t="shared" si="5"/>
        <v>0</v>
      </c>
      <c r="Y22" s="1">
        <f>IF(B22&gt;Input!D$15,0,Input!D$7*Input!D$13)</f>
        <v>0</v>
      </c>
      <c r="Z22" s="15">
        <f t="shared" ca="1" si="4"/>
        <v>2045</v>
      </c>
    </row>
    <row r="23" spans="1:26" x14ac:dyDescent="0.3">
      <c r="A23" t="s">
        <v>14</v>
      </c>
      <c r="B23">
        <v>22</v>
      </c>
      <c r="C23" s="1">
        <f>IF(B23&gt;Input!D$15,0,M22)</f>
        <v>0</v>
      </c>
      <c r="D23" s="15">
        <f>IF(B23&gt;Input!D$15,0,(D22-(Y22-J22)+(F22-H22)+(G22-I22)-IFERROR(K22*((Y22-J22)/Y22),0))+IF(Input!H$16="Yes",MIN(Q22,L22),0))</f>
        <v>0</v>
      </c>
      <c r="E23" s="1">
        <f>IF(B23&gt;Input!D$15,0,C23*Input!D$10)</f>
        <v>0</v>
      </c>
      <c r="F23" s="1">
        <f>IF(B23&gt;Input!D$15,0,C23*Input!D$11)</f>
        <v>0</v>
      </c>
      <c r="G23" s="1">
        <f>IF(R23=0,0,C23*Input!D$12)</f>
        <v>0</v>
      </c>
      <c r="H23" s="1">
        <f>IF((F23-N23)*Input!H$15&lt;0,0,(F23-N23)*Input!H$15)</f>
        <v>0</v>
      </c>
      <c r="I23" s="1">
        <f>IF(G23-O23&lt;=0,0,(G23-O23)*Input!J$18)</f>
        <v>0</v>
      </c>
      <c r="J23" s="1">
        <f>MAX(IFERROR(IF(B23&gt;Input!D$15,0,Y23-(Y23*((D23+F23+G23)/(C23+(C23*Input!D$8))))),0),0)</f>
        <v>0</v>
      </c>
      <c r="K23" s="15">
        <f>MAX(0,(J23-P23)*Input!K$15)</f>
        <v>0</v>
      </c>
      <c r="L23" s="1">
        <f t="shared" si="0"/>
        <v>0</v>
      </c>
      <c r="M23" s="1">
        <f t="shared" si="1"/>
        <v>0</v>
      </c>
      <c r="N23" s="57">
        <f>IF(C23=0,0,SUM(IF(Input!H$15=0.2,VLOOKUP(Z23,Allowances!A:D,4,FALSE)-(VLOOKUP(Z23,Allowances!A:D,4,FALSE)*Input!H$12),IF(Input!H$15=0.4,VLOOKUP(Z23,Allowances!A:D,4,FALSE)/2-((VLOOKUP(Z23,Allowances!A:D,4,FALSE)*Input!H$12)/2),IF(Input!H$15=0.45,0,IF(Input!H$15=0,VLOOKUP(Z23,Allowances!A:D,4,FALSE)-(VLOOKUP(Z23,Allowances!A:D,4,FALSE)*Input!H$12),0))))))</f>
        <v>0</v>
      </c>
      <c r="O23" s="57">
        <f>IF(C23=0,0,VLOOKUP(Z23,Allowances!A:D,3,FALSE)-VLOOKUP(Z23,Allowances!A:D,3,FALSE)*Input!H$11)</f>
        <v>0</v>
      </c>
      <c r="P23" s="57">
        <f>IF(B23&gt;Input!D$15,0,VLOOKUP(Z23,Allowances!A:D,2,FALSE)-(VLOOKUP(Z23,Allowances!A:D,2,FALSE)*Input!H$13))</f>
        <v>0</v>
      </c>
      <c r="Q23" s="1">
        <f t="shared" si="2"/>
        <v>0</v>
      </c>
      <c r="R23" s="1">
        <f>IF(Input!D$15&lt;B23,0,R22+(R22*Input!D$8)-Y23)</f>
        <v>0</v>
      </c>
      <c r="S23" s="1">
        <f>IF(B23&gt;Input!D$15,0,S22+SUM(T23:V23)-SUM(W23:X23)-Y23)</f>
        <v>0</v>
      </c>
      <c r="T23" s="1">
        <f>IF(R23=0,0,S22*Input!D$10)</f>
        <v>0</v>
      </c>
      <c r="U23" s="1">
        <f>IF(B23&gt;Input!D$15,0,S22*Input!D$11)</f>
        <v>0</v>
      </c>
      <c r="V23" s="1">
        <f>IF(B23&gt;Input!D$15,0,S22*Input!D$12)</f>
        <v>0</v>
      </c>
      <c r="W23" s="1">
        <f t="shared" si="3"/>
        <v>0</v>
      </c>
      <c r="X23" s="1">
        <f t="shared" si="5"/>
        <v>0</v>
      </c>
      <c r="Y23" s="1">
        <f>IF(B23&gt;Input!D$15,0,Input!D$7*Input!D$13)</f>
        <v>0</v>
      </c>
      <c r="Z23" s="15">
        <f t="shared" ca="1" si="4"/>
        <v>2046</v>
      </c>
    </row>
    <row r="24" spans="1:26" x14ac:dyDescent="0.3">
      <c r="A24" t="s">
        <v>14</v>
      </c>
      <c r="B24">
        <v>23</v>
      </c>
      <c r="C24" s="1">
        <f>IF(B24&gt;Input!D$15,0,M23)</f>
        <v>0</v>
      </c>
      <c r="D24" s="15">
        <f>IF(B24&gt;Input!D$15,0,(D23-(Y23-J23)+(F23-H23)+(G23-I23)-IFERROR(K23*((Y23-J23)/Y23),0))+IF(Input!H$16="Yes",MIN(Q23,L23),0))</f>
        <v>0</v>
      </c>
      <c r="E24" s="1">
        <f>IF(B24&gt;Input!D$15,0,C24*Input!D$10)</f>
        <v>0</v>
      </c>
      <c r="F24" s="1">
        <f>IF(B24&gt;Input!D$15,0,C24*Input!D$11)</f>
        <v>0</v>
      </c>
      <c r="G24" s="1">
        <f>IF(R24=0,0,C24*Input!D$12)</f>
        <v>0</v>
      </c>
      <c r="H24" s="1">
        <f>IF((F24-N24)*Input!H$15&lt;0,0,(F24-N24)*Input!H$15)</f>
        <v>0</v>
      </c>
      <c r="I24" s="1">
        <f>IF(G24-O24&lt;=0,0,(G24-O24)*Input!J$18)</f>
        <v>0</v>
      </c>
      <c r="J24" s="1">
        <f>MAX(IFERROR(IF(B24&gt;Input!D$15,0,Y24-(Y24*((D24+F24+G24)/(C24+(C24*Input!D$8))))),0),0)</f>
        <v>0</v>
      </c>
      <c r="K24" s="15">
        <f>MAX(0,(J24-P24)*Input!K$15)</f>
        <v>0</v>
      </c>
      <c r="L24" s="1">
        <f t="shared" si="0"/>
        <v>0</v>
      </c>
      <c r="M24" s="1">
        <f t="shared" si="1"/>
        <v>0</v>
      </c>
      <c r="N24" s="57">
        <f>IF(C24=0,0,SUM(IF(Input!H$15=0.2,VLOOKUP(Z24,Allowances!A:D,4,FALSE)-(VLOOKUP(Z24,Allowances!A:D,4,FALSE)*Input!H$12),IF(Input!H$15=0.4,VLOOKUP(Z24,Allowances!A:D,4,FALSE)/2-((VLOOKUP(Z24,Allowances!A:D,4,FALSE)*Input!H$12)/2),IF(Input!H$15=0.45,0,IF(Input!H$15=0,VLOOKUP(Z24,Allowances!A:D,4,FALSE)-(VLOOKUP(Z24,Allowances!A:D,4,FALSE)*Input!H$12),0))))))</f>
        <v>0</v>
      </c>
      <c r="O24" s="57">
        <f>IF(C24=0,0,VLOOKUP(Z24,Allowances!A:D,3,FALSE)-VLOOKUP(Z24,Allowances!A:D,3,FALSE)*Input!H$11)</f>
        <v>0</v>
      </c>
      <c r="P24" s="57">
        <f>IF(B24&gt;Input!D$15,0,VLOOKUP(Z24,Allowances!A:D,2,FALSE)-(VLOOKUP(Z24,Allowances!A:D,2,FALSE)*Input!H$13))</f>
        <v>0</v>
      </c>
      <c r="Q24" s="1">
        <f t="shared" si="2"/>
        <v>0</v>
      </c>
      <c r="R24" s="1">
        <f>IF(Input!D$15&lt;B24,0,R23+(R23*Input!D$8)-Y24)</f>
        <v>0</v>
      </c>
      <c r="S24" s="1">
        <f>IF(B24&gt;Input!D$15,0,S23+SUM(T24:V24)-SUM(W24:X24)-Y24)</f>
        <v>0</v>
      </c>
      <c r="T24" s="1">
        <f>IF(R24=0,0,S23*Input!D$10)</f>
        <v>0</v>
      </c>
      <c r="U24" s="1">
        <f>IF(B24&gt;Input!D$15,0,S23*Input!D$11)</f>
        <v>0</v>
      </c>
      <c r="V24" s="1">
        <f>IF(B24&gt;Input!D$15,0,S23*Input!D$12)</f>
        <v>0</v>
      </c>
      <c r="W24" s="1">
        <f t="shared" si="3"/>
        <v>0</v>
      </c>
      <c r="X24" s="1">
        <f t="shared" si="5"/>
        <v>0</v>
      </c>
      <c r="Y24" s="1">
        <f>IF(B24&gt;Input!D$15,0,Input!D$7*Input!D$13)</f>
        <v>0</v>
      </c>
      <c r="Z24" s="15">
        <f t="shared" ca="1" si="4"/>
        <v>2047</v>
      </c>
    </row>
    <row r="25" spans="1:26" x14ac:dyDescent="0.3">
      <c r="A25" t="s">
        <v>14</v>
      </c>
      <c r="B25">
        <v>24</v>
      </c>
      <c r="C25" s="1">
        <f>IF(B25&gt;Input!D$15,0,M24)</f>
        <v>0</v>
      </c>
      <c r="D25" s="15">
        <f>IF(B25&gt;Input!D$15,0,(D24-(Y24-J24)+(F24-H24)+(G24-I24)-IFERROR(K24*((Y24-J24)/Y24),0))+IF(Input!H$16="Yes",MIN(Q24,L24),0))</f>
        <v>0</v>
      </c>
      <c r="E25" s="1">
        <f>IF(B25&gt;Input!D$15,0,C25*Input!D$10)</f>
        <v>0</v>
      </c>
      <c r="F25" s="1">
        <f>IF(B25&gt;Input!D$15,0,C25*Input!D$11)</f>
        <v>0</v>
      </c>
      <c r="G25" s="1">
        <f>IF(R25=0,0,C25*Input!D$12)</f>
        <v>0</v>
      </c>
      <c r="H25" s="1">
        <f>IF((F25-N25)*Input!H$15&lt;0,0,(F25-N25)*Input!H$15)</f>
        <v>0</v>
      </c>
      <c r="I25" s="1">
        <f>IF(G25-O25&lt;=0,0,(G25-O25)*Input!J$18)</f>
        <v>0</v>
      </c>
      <c r="J25" s="1">
        <f>MAX(IFERROR(IF(B25&gt;Input!D$15,0,Y25-(Y25*((D25+F25+G25)/(C25+(C25*Input!D$8))))),0),0)</f>
        <v>0</v>
      </c>
      <c r="K25" s="15">
        <f>MAX(0,(J25-P25)*Input!K$15)</f>
        <v>0</v>
      </c>
      <c r="L25" s="1">
        <f t="shared" si="0"/>
        <v>0</v>
      </c>
      <c r="M25" s="1">
        <f t="shared" si="1"/>
        <v>0</v>
      </c>
      <c r="N25" s="57">
        <f>IF(C25=0,0,SUM(IF(Input!H$15=0.2,VLOOKUP(Z25,Allowances!A:D,4,FALSE)-(VLOOKUP(Z25,Allowances!A:D,4,FALSE)*Input!H$12),IF(Input!H$15=0.4,VLOOKUP(Z25,Allowances!A:D,4,FALSE)/2-((VLOOKUP(Z25,Allowances!A:D,4,FALSE)*Input!H$12)/2),IF(Input!H$15=0.45,0,IF(Input!H$15=0,VLOOKUP(Z25,Allowances!A:D,4,FALSE)-(VLOOKUP(Z25,Allowances!A:D,4,FALSE)*Input!H$12),0))))))</f>
        <v>0</v>
      </c>
      <c r="O25" s="57">
        <f>IF(C25=0,0,VLOOKUP(Z25,Allowances!A:D,3,FALSE)-VLOOKUP(Z25,Allowances!A:D,3,FALSE)*Input!H$11)</f>
        <v>0</v>
      </c>
      <c r="P25" s="57">
        <f>IF(B25&gt;Input!D$15,0,VLOOKUP(Z25,Allowances!A:D,2,FALSE)-(VLOOKUP(Z25,Allowances!A:D,2,FALSE)*Input!H$13))</f>
        <v>0</v>
      </c>
      <c r="Q25" s="1">
        <f t="shared" si="2"/>
        <v>0</v>
      </c>
      <c r="R25" s="1">
        <f>IF(Input!D$15&lt;B25,0,R24+(R24*Input!D$8)-Y25)</f>
        <v>0</v>
      </c>
      <c r="S25" s="1">
        <f>IF(B25&gt;Input!D$15,0,S24+SUM(T25:V25)-SUM(W25:X25)-Y25)</f>
        <v>0</v>
      </c>
      <c r="T25" s="1">
        <f>IF(R25=0,0,S24*Input!D$10)</f>
        <v>0</v>
      </c>
      <c r="U25" s="1">
        <f>IF(B25&gt;Input!D$15,0,S24*Input!D$11)</f>
        <v>0</v>
      </c>
      <c r="V25" s="1">
        <f>IF(B25&gt;Input!D$15,0,S24*Input!D$12)</f>
        <v>0</v>
      </c>
      <c r="W25" s="1">
        <f t="shared" si="3"/>
        <v>0</v>
      </c>
      <c r="X25" s="1">
        <f t="shared" si="5"/>
        <v>0</v>
      </c>
      <c r="Y25" s="1">
        <f>IF(B25&gt;Input!D$15,0,Input!D$7*Input!D$13)</f>
        <v>0</v>
      </c>
      <c r="Z25" s="15">
        <f t="shared" ca="1" si="4"/>
        <v>2048</v>
      </c>
    </row>
    <row r="26" spans="1:26" x14ac:dyDescent="0.3">
      <c r="A26" t="s">
        <v>14</v>
      </c>
      <c r="B26">
        <v>25</v>
      </c>
      <c r="C26" s="1">
        <f>IF(B26&gt;Input!D$15,0,M25)</f>
        <v>0</v>
      </c>
      <c r="D26" s="15">
        <f>IF(B26&gt;Input!D$15,0,(D25-(Y25-J25)+(F25-H25)+(G25-I25)-IFERROR(K25*((Y25-J25)/Y25),0))+IF(Input!H$16="Yes",MIN(Q25,L25),0))</f>
        <v>0</v>
      </c>
      <c r="E26" s="1">
        <f>IF(B26&gt;Input!D$15,0,C26*Input!D$10)</f>
        <v>0</v>
      </c>
      <c r="F26" s="1">
        <f>IF(B26&gt;Input!D$15,0,C26*Input!D$11)</f>
        <v>0</v>
      </c>
      <c r="G26" s="1">
        <f>IF(R26=0,0,C26*Input!D$12)</f>
        <v>0</v>
      </c>
      <c r="H26" s="1">
        <f>IF((F26-N26)*Input!H$15&lt;0,0,(F26-N26)*Input!H$15)</f>
        <v>0</v>
      </c>
      <c r="I26" s="1">
        <f>IF(G26-O26&lt;=0,0,(G26-O26)*Input!J$18)</f>
        <v>0</v>
      </c>
      <c r="J26" s="1">
        <f>MAX(IFERROR(IF(B26&gt;Input!D$15,0,Y26-(Y26*((D26+F26+G26)/(C26+(C26*Input!D$8))))),0),0)</f>
        <v>0</v>
      </c>
      <c r="K26" s="15">
        <f>MAX(0,(J26-P26)*Input!K$15)</f>
        <v>0</v>
      </c>
      <c r="L26" s="1">
        <f t="shared" si="0"/>
        <v>0</v>
      </c>
      <c r="M26" s="1">
        <f t="shared" si="1"/>
        <v>0</v>
      </c>
      <c r="N26" s="57">
        <f>IF(C26=0,0,SUM(IF(Input!H$15=0.2,VLOOKUP(Z26,Allowances!A:D,4,FALSE)-(VLOOKUP(Z26,Allowances!A:D,4,FALSE)*Input!H$12),IF(Input!H$15=0.4,VLOOKUP(Z26,Allowances!A:D,4,FALSE)/2-((VLOOKUP(Z26,Allowances!A:D,4,FALSE)*Input!H$12)/2),IF(Input!H$15=0.45,0,IF(Input!H$15=0,VLOOKUP(Z26,Allowances!A:D,4,FALSE)-(VLOOKUP(Z26,Allowances!A:D,4,FALSE)*Input!H$12),0))))))</f>
        <v>0</v>
      </c>
      <c r="O26" s="57">
        <f>IF(C26=0,0,VLOOKUP(Z26,Allowances!A:D,3,FALSE)-VLOOKUP(Z26,Allowances!A:D,3,FALSE)*Input!H$11)</f>
        <v>0</v>
      </c>
      <c r="P26" s="57">
        <f>IF(B26&gt;Input!D$15,0,VLOOKUP(Z26,Allowances!A:D,2,FALSE)-(VLOOKUP(Z26,Allowances!A:D,2,FALSE)*Input!H$13))</f>
        <v>0</v>
      </c>
      <c r="Q26" s="1">
        <f t="shared" si="2"/>
        <v>0</v>
      </c>
      <c r="R26" s="1">
        <f>IF(Input!D$15&lt;B26,0,R25+(R25*Input!D$8)-Y26)</f>
        <v>0</v>
      </c>
      <c r="S26" s="1">
        <f>IF(B26&gt;Input!D$15,0,S25+SUM(T26:V26)-SUM(W26:X26)-Y26)</f>
        <v>0</v>
      </c>
      <c r="T26" s="1">
        <f>IF(R26=0,0,S25*Input!D$10)</f>
        <v>0</v>
      </c>
      <c r="U26" s="1">
        <f>IF(B26&gt;Input!D$15,0,S25*Input!D$11)</f>
        <v>0</v>
      </c>
      <c r="V26" s="1">
        <f>IF(B26&gt;Input!D$15,0,S25*Input!D$12)</f>
        <v>0</v>
      </c>
      <c r="W26" s="1">
        <f t="shared" si="3"/>
        <v>0</v>
      </c>
      <c r="X26" s="1">
        <f t="shared" si="5"/>
        <v>0</v>
      </c>
      <c r="Y26" s="1">
        <f>IF(B26&gt;Input!D$15,0,Input!D$7*Input!D$13)</f>
        <v>0</v>
      </c>
      <c r="Z26" s="15">
        <f t="shared" ca="1" si="4"/>
        <v>2049</v>
      </c>
    </row>
    <row r="27" spans="1:26" x14ac:dyDescent="0.3">
      <c r="A27" t="s">
        <v>14</v>
      </c>
      <c r="B27">
        <v>26</v>
      </c>
      <c r="C27" s="1">
        <f>IF(B27&gt;Input!D$15,0,M26)</f>
        <v>0</v>
      </c>
      <c r="D27" s="15">
        <f>IF(B27&gt;Input!D$15,0,(D26-(Y26-J26)+(F26-H26)+(G26-I26)-IFERROR(K26*((Y26-J26)/Y26),0))+IF(Input!H$16="Yes",MIN(Q26,L26),0))</f>
        <v>0</v>
      </c>
      <c r="E27" s="1">
        <f>IF(B27&gt;Input!D$15,0,C27*Input!D$10)</f>
        <v>0</v>
      </c>
      <c r="F27" s="1">
        <f>IF(B27&gt;Input!D$15,0,C27*Input!D$11)</f>
        <v>0</v>
      </c>
      <c r="G27" s="1">
        <f>IF(R27=0,0,C27*Input!D$12)</f>
        <v>0</v>
      </c>
      <c r="H27" s="1">
        <f>IF((F27-N27)*Input!H$15&lt;0,0,(F27-N27)*Input!H$15)</f>
        <v>0</v>
      </c>
      <c r="I27" s="1">
        <f>IF(G27-O27&lt;=0,0,(G27-O27)*Input!J$18)</f>
        <v>0</v>
      </c>
      <c r="J27" s="1">
        <f>MAX(IFERROR(IF(B27&gt;Input!D$15,0,Y27-(Y27*((D27+F27+G27)/(C27+(C27*Input!D$8))))),0),0)</f>
        <v>0</v>
      </c>
      <c r="K27" s="15">
        <f>MAX(0,(J27-P27)*Input!K$15)</f>
        <v>0</v>
      </c>
      <c r="L27" s="1">
        <f t="shared" si="0"/>
        <v>0</v>
      </c>
      <c r="M27" s="1">
        <f t="shared" si="1"/>
        <v>0</v>
      </c>
      <c r="N27" s="57">
        <f>IF(C27=0,0,SUM(IF(Input!H$15=0.2,VLOOKUP(Z27,Allowances!A:D,4,FALSE)-(VLOOKUP(Z27,Allowances!A:D,4,FALSE)*Input!H$12),IF(Input!H$15=0.4,VLOOKUP(Z27,Allowances!A:D,4,FALSE)/2-((VLOOKUP(Z27,Allowances!A:D,4,FALSE)*Input!H$12)/2),IF(Input!H$15=0.45,0,IF(Input!H$15=0,VLOOKUP(Z27,Allowances!A:D,4,FALSE)-(VLOOKUP(Z27,Allowances!A:D,4,FALSE)*Input!H$12),0))))))</f>
        <v>0</v>
      </c>
      <c r="O27" s="57">
        <f>IF(C27=0,0,VLOOKUP(Z27,Allowances!A:D,3,FALSE)-VLOOKUP(Z27,Allowances!A:D,3,FALSE)*Input!H$11)</f>
        <v>0</v>
      </c>
      <c r="P27" s="57">
        <f>IF(B27&gt;Input!D$15,0,VLOOKUP(Z27,Allowances!A:D,2,FALSE)-(VLOOKUP(Z27,Allowances!A:D,2,FALSE)*Input!H$13))</f>
        <v>0</v>
      </c>
      <c r="Q27" s="1">
        <f t="shared" si="2"/>
        <v>0</v>
      </c>
      <c r="R27" s="1">
        <f>IF(Input!D$15&lt;B27,0,R26+(R26*Input!D$8)-Y27)</f>
        <v>0</v>
      </c>
      <c r="S27" s="1">
        <f>IF(B27&gt;Input!D$15,0,S26+SUM(T27:V27)-SUM(W27:X27)-Y27)</f>
        <v>0</v>
      </c>
      <c r="T27" s="1">
        <f>IF(R27=0,0,S26*Input!D$10)</f>
        <v>0</v>
      </c>
      <c r="U27" s="1">
        <f>IF(B27&gt;Input!D$15,0,S26*Input!D$11)</f>
        <v>0</v>
      </c>
      <c r="V27" s="1">
        <f>IF(B27&gt;Input!D$15,0,S26*Input!D$12)</f>
        <v>0</v>
      </c>
      <c r="W27" s="1">
        <f t="shared" si="3"/>
        <v>0</v>
      </c>
      <c r="X27" s="1">
        <f t="shared" si="5"/>
        <v>0</v>
      </c>
      <c r="Y27" s="1">
        <f>IF(B27&gt;Input!D$15,0,Input!D$7*Input!D$13)</f>
        <v>0</v>
      </c>
      <c r="Z27" s="15">
        <f t="shared" ca="1" si="4"/>
        <v>2050</v>
      </c>
    </row>
    <row r="28" spans="1:26" x14ac:dyDescent="0.3">
      <c r="A28" t="s">
        <v>14</v>
      </c>
      <c r="B28">
        <v>27</v>
      </c>
      <c r="C28" s="1">
        <f>IF(B28&gt;Input!D$15,0,M27)</f>
        <v>0</v>
      </c>
      <c r="D28" s="15">
        <f>IF(B28&gt;Input!D$15,0,(D27-(Y27-J27)+(F27-H27)+(G27-I27)-IFERROR(K27*((Y27-J27)/Y27),0))+IF(Input!H$16="Yes",MIN(Q27,L27),0))</f>
        <v>0</v>
      </c>
      <c r="E28" s="1">
        <f>IF(B28&gt;Input!D$15,0,C28*Input!D$10)</f>
        <v>0</v>
      </c>
      <c r="F28" s="1">
        <f>IF(B28&gt;Input!D$15,0,C28*Input!D$11)</f>
        <v>0</v>
      </c>
      <c r="G28" s="1">
        <f>IF(R28=0,0,C28*Input!D$12)</f>
        <v>0</v>
      </c>
      <c r="H28" s="1">
        <f>IF((F28-N28)*Input!H$15&lt;0,0,(F28-N28)*Input!H$15)</f>
        <v>0</v>
      </c>
      <c r="I28" s="1">
        <f>IF(G28-O28&lt;=0,0,(G28-O28)*Input!J$18)</f>
        <v>0</v>
      </c>
      <c r="J28" s="1">
        <f>MAX(IFERROR(IF(B28&gt;Input!D$15,0,Y28-(Y28*((D28+F28+G28)/(C28+(C28*Input!D$8))))),0),0)</f>
        <v>0</v>
      </c>
      <c r="K28" s="15">
        <f>MAX(0,(J28-P28)*Input!K$15)</f>
        <v>0</v>
      </c>
      <c r="L28" s="1">
        <f t="shared" si="0"/>
        <v>0</v>
      </c>
      <c r="M28" s="1">
        <f t="shared" si="1"/>
        <v>0</v>
      </c>
      <c r="N28" s="57">
        <f>IF(C28=0,0,SUM(IF(Input!H$15=0.2,VLOOKUP(Z28,Allowances!A:D,4,FALSE)-(VLOOKUP(Z28,Allowances!A:D,4,FALSE)*Input!H$12),IF(Input!H$15=0.4,VLOOKUP(Z28,Allowances!A:D,4,FALSE)/2-((VLOOKUP(Z28,Allowances!A:D,4,FALSE)*Input!H$12)/2),IF(Input!H$15=0.45,0,IF(Input!H$15=0,VLOOKUP(Z28,Allowances!A:D,4,FALSE)-(VLOOKUP(Z28,Allowances!A:D,4,FALSE)*Input!H$12),0))))))</f>
        <v>0</v>
      </c>
      <c r="O28" s="57">
        <f>IF(C28=0,0,VLOOKUP(Z28,Allowances!A:D,3,FALSE)-VLOOKUP(Z28,Allowances!A:D,3,FALSE)*Input!H$11)</f>
        <v>0</v>
      </c>
      <c r="P28" s="57">
        <f>IF(B28&gt;Input!D$15,0,VLOOKUP(Z28,Allowances!A:D,2,FALSE)-(VLOOKUP(Z28,Allowances!A:D,2,FALSE)*Input!H$13))</f>
        <v>0</v>
      </c>
      <c r="Q28" s="1">
        <f t="shared" si="2"/>
        <v>0</v>
      </c>
      <c r="R28" s="1">
        <f>IF(Input!D$15&lt;B28,0,R27+(R27*Input!D$8)-Y28)</f>
        <v>0</v>
      </c>
      <c r="S28" s="1">
        <f>IF(B28&gt;Input!D$15,0,S27+SUM(T28:V28)-SUM(W28:X28)-Y28)</f>
        <v>0</v>
      </c>
      <c r="T28" s="1">
        <f>IF(R28=0,0,S27*Input!D$10)</f>
        <v>0</v>
      </c>
      <c r="U28" s="1">
        <f>IF(B28&gt;Input!D$15,0,S27*Input!D$11)</f>
        <v>0</v>
      </c>
      <c r="V28" s="1">
        <f>IF(B28&gt;Input!D$15,0,S27*Input!D$12)</f>
        <v>0</v>
      </c>
      <c r="W28" s="1">
        <f t="shared" si="3"/>
        <v>0</v>
      </c>
      <c r="X28" s="1">
        <f t="shared" si="5"/>
        <v>0</v>
      </c>
      <c r="Y28" s="1">
        <f>IF(B28&gt;Input!D$15,0,Input!D$7*Input!D$13)</f>
        <v>0</v>
      </c>
      <c r="Z28" s="15">
        <f t="shared" ca="1" si="4"/>
        <v>2051</v>
      </c>
    </row>
    <row r="29" spans="1:26" x14ac:dyDescent="0.3">
      <c r="A29" t="s">
        <v>14</v>
      </c>
      <c r="B29">
        <v>28</v>
      </c>
      <c r="C29" s="1">
        <f>IF(B29&gt;Input!D$15,0,M28)</f>
        <v>0</v>
      </c>
      <c r="D29" s="15">
        <f>IF(B29&gt;Input!D$15,0,(D28-(Y28-J28)+(F28-H28)+(G28-I28)-IFERROR(K28*((Y28-J28)/Y28),0))+IF(Input!H$16="Yes",MIN(Q28,L28),0))</f>
        <v>0</v>
      </c>
      <c r="E29" s="1">
        <f>IF(B29&gt;Input!D$15,0,C29*Input!D$10)</f>
        <v>0</v>
      </c>
      <c r="F29" s="1">
        <f>IF(B29&gt;Input!D$15,0,C29*Input!D$11)</f>
        <v>0</v>
      </c>
      <c r="G29" s="1">
        <f>IF(R29=0,0,C29*Input!D$12)</f>
        <v>0</v>
      </c>
      <c r="H29" s="1">
        <f>IF((F29-N29)*Input!H$15&lt;0,0,(F29-N29)*Input!H$15)</f>
        <v>0</v>
      </c>
      <c r="I29" s="1">
        <f>IF(G29-O29&lt;=0,0,(G29-O29)*Input!J$18)</f>
        <v>0</v>
      </c>
      <c r="J29" s="1">
        <f>MAX(IFERROR(IF(B29&gt;Input!D$15,0,Y29-(Y29*((D29+F29+G29)/(C29+(C29*Input!D$8))))),0),0)</f>
        <v>0</v>
      </c>
      <c r="K29" s="15">
        <f>MAX(0,(J29-P29)*Input!K$15)</f>
        <v>0</v>
      </c>
      <c r="L29" s="1">
        <f t="shared" si="0"/>
        <v>0</v>
      </c>
      <c r="M29" s="1">
        <f t="shared" si="1"/>
        <v>0</v>
      </c>
      <c r="N29" s="57">
        <f>IF(C29=0,0,SUM(IF(Input!H$15=0.2,VLOOKUP(Z29,Allowances!A:D,4,FALSE)-(VLOOKUP(Z29,Allowances!A:D,4,FALSE)*Input!H$12),IF(Input!H$15=0.4,VLOOKUP(Z29,Allowances!A:D,4,FALSE)/2-((VLOOKUP(Z29,Allowances!A:D,4,FALSE)*Input!H$12)/2),IF(Input!H$15=0.45,0,IF(Input!H$15=0,VLOOKUP(Z29,Allowances!A:D,4,FALSE)-(VLOOKUP(Z29,Allowances!A:D,4,FALSE)*Input!H$12),0))))))</f>
        <v>0</v>
      </c>
      <c r="O29" s="57">
        <f>IF(C29=0,0,VLOOKUP(Z29,Allowances!A:D,3,FALSE)-VLOOKUP(Z29,Allowances!A:D,3,FALSE)*Input!H$11)</f>
        <v>0</v>
      </c>
      <c r="P29" s="57">
        <f>IF(B29&gt;Input!D$15,0,VLOOKUP(Z29,Allowances!A:D,2,FALSE)-(VLOOKUP(Z29,Allowances!A:D,2,FALSE)*Input!H$13))</f>
        <v>0</v>
      </c>
      <c r="Q29" s="1">
        <f t="shared" si="2"/>
        <v>0</v>
      </c>
      <c r="R29" s="1">
        <f>IF(Input!D$15&lt;B29,0,R28+(R28*Input!D$8)-Y29)</f>
        <v>0</v>
      </c>
      <c r="S29" s="1">
        <f>IF(B29&gt;Input!D$15,0,S28+SUM(T29:V29)-SUM(W29:X29)-Y29)</f>
        <v>0</v>
      </c>
      <c r="T29" s="1">
        <f>IF(R29=0,0,S28*Input!D$10)</f>
        <v>0</v>
      </c>
      <c r="U29" s="1">
        <f>IF(B29&gt;Input!D$15,0,S28*Input!D$11)</f>
        <v>0</v>
      </c>
      <c r="V29" s="1">
        <f>IF(B29&gt;Input!D$15,0,S28*Input!D$12)</f>
        <v>0</v>
      </c>
      <c r="W29" s="1">
        <f t="shared" si="3"/>
        <v>0</v>
      </c>
      <c r="X29" s="1">
        <f t="shared" si="5"/>
        <v>0</v>
      </c>
      <c r="Y29" s="1">
        <f>IF(B29&gt;Input!D$15,0,Input!D$7*Input!D$13)</f>
        <v>0</v>
      </c>
      <c r="Z29" s="15">
        <f t="shared" ca="1" si="4"/>
        <v>2052</v>
      </c>
    </row>
    <row r="30" spans="1:26" x14ac:dyDescent="0.3">
      <c r="A30" t="s">
        <v>14</v>
      </c>
      <c r="B30">
        <v>29</v>
      </c>
      <c r="C30" s="1">
        <f>IF(B30&gt;Input!D$15,0,M29)</f>
        <v>0</v>
      </c>
      <c r="D30" s="15">
        <f>IF(B30&gt;Input!D$15,0,(D29-(Y29-J29)+(F29-H29)+(G29-I29)-IFERROR(K29*((Y29-J29)/Y29),0))+IF(Input!H$16="Yes",MIN(Q29,L29),0))</f>
        <v>0</v>
      </c>
      <c r="E30" s="1">
        <f>IF(B30&gt;Input!D$15,0,C30*Input!D$10)</f>
        <v>0</v>
      </c>
      <c r="F30" s="1">
        <f>IF(B30&gt;Input!D$15,0,C30*Input!D$11)</f>
        <v>0</v>
      </c>
      <c r="G30" s="1">
        <f>IF(R30=0,0,C30*Input!D$12)</f>
        <v>0</v>
      </c>
      <c r="H30" s="1">
        <f>IF((F30-N30)*Input!H$15&lt;0,0,(F30-N30)*Input!H$15)</f>
        <v>0</v>
      </c>
      <c r="I30" s="1">
        <f>IF(G30-O30&lt;=0,0,(G30-O30)*Input!J$18)</f>
        <v>0</v>
      </c>
      <c r="J30" s="1">
        <f>MAX(IFERROR(IF(B30&gt;Input!D$15,0,Y30-(Y30*((D30+F30+G30)/(C30+(C30*Input!D$8))))),0),0)</f>
        <v>0</v>
      </c>
      <c r="K30" s="15">
        <f>MAX(0,(J30-P30)*Input!K$15)</f>
        <v>0</v>
      </c>
      <c r="L30" s="1">
        <f t="shared" si="0"/>
        <v>0</v>
      </c>
      <c r="M30" s="1">
        <f t="shared" si="1"/>
        <v>0</v>
      </c>
      <c r="N30" s="57">
        <f>IF(C30=0,0,SUM(IF(Input!H$15=0.2,VLOOKUP(Z30,Allowances!A:D,4,FALSE)-(VLOOKUP(Z30,Allowances!A:D,4,FALSE)*Input!H$12),IF(Input!H$15=0.4,VLOOKUP(Z30,Allowances!A:D,4,FALSE)/2-((VLOOKUP(Z30,Allowances!A:D,4,FALSE)*Input!H$12)/2),IF(Input!H$15=0.45,0,IF(Input!H$15=0,VLOOKUP(Z30,Allowances!A:D,4,FALSE)-(VLOOKUP(Z30,Allowances!A:D,4,FALSE)*Input!H$12),0))))))</f>
        <v>0</v>
      </c>
      <c r="O30" s="57">
        <f>IF(C30=0,0,VLOOKUP(Z30,Allowances!A:D,3,FALSE)-VLOOKUP(Z30,Allowances!A:D,3,FALSE)*Input!H$11)</f>
        <v>0</v>
      </c>
      <c r="P30" s="57">
        <f>IF(B30&gt;Input!D$15,0,VLOOKUP(Z30,Allowances!A:D,2,FALSE)-(VLOOKUP(Z30,Allowances!A:D,2,FALSE)*Input!H$13))</f>
        <v>0</v>
      </c>
      <c r="Q30" s="1">
        <f t="shared" si="2"/>
        <v>0</v>
      </c>
      <c r="R30" s="1">
        <f>IF(Input!D$15&lt;B30,0,R29+(R29*Input!D$8)-Y30)</f>
        <v>0</v>
      </c>
      <c r="S30" s="1">
        <f>IF(B30&gt;Input!D$15,0,S29+SUM(T30:V30)-SUM(W30:X30)-Y30)</f>
        <v>0</v>
      </c>
      <c r="T30" s="1">
        <f>IF(R30=0,0,S29*Input!D$10)</f>
        <v>0</v>
      </c>
      <c r="U30" s="1">
        <f>IF(B30&gt;Input!D$15,0,S29*Input!D$11)</f>
        <v>0</v>
      </c>
      <c r="V30" s="1">
        <f>IF(B30&gt;Input!D$15,0,S29*Input!D$12)</f>
        <v>0</v>
      </c>
      <c r="W30" s="1">
        <f t="shared" si="3"/>
        <v>0</v>
      </c>
      <c r="X30" s="1">
        <f t="shared" si="5"/>
        <v>0</v>
      </c>
      <c r="Y30" s="1">
        <f>IF(B30&gt;Input!D$15,0,Input!D$7*Input!D$13)</f>
        <v>0</v>
      </c>
      <c r="Z30" s="15">
        <f t="shared" ca="1" si="4"/>
        <v>2053</v>
      </c>
    </row>
    <row r="31" spans="1:26" x14ac:dyDescent="0.3">
      <c r="A31" t="s">
        <v>14</v>
      </c>
      <c r="B31">
        <v>30</v>
      </c>
      <c r="C31" s="1">
        <f>IF(B31&gt;Input!D$15,0,M30)</f>
        <v>0</v>
      </c>
      <c r="D31" s="15">
        <f>IF(B31&gt;Input!D$15,0,(D30-(Y30-J30)+(F30-H30)+(G30-I30)-IFERROR(K30*((Y30-J30)/Y30),0))+IF(Input!H$16="Yes",MIN(Q30,L30),0))</f>
        <v>0</v>
      </c>
      <c r="E31" s="1">
        <f>IF(B31&gt;Input!D$15,0,C31*Input!D$10)</f>
        <v>0</v>
      </c>
      <c r="F31" s="1">
        <f>IF(B31&gt;Input!D$15,0,C31*Input!D$11)</f>
        <v>0</v>
      </c>
      <c r="G31" s="1">
        <f>IF(R31=0,0,C31*Input!D$12)</f>
        <v>0</v>
      </c>
      <c r="H31" s="1">
        <f>IF((F31-N31)*Input!H$15&lt;0,0,(F31-N31)*Input!H$15)</f>
        <v>0</v>
      </c>
      <c r="I31" s="1">
        <f>IF(G31-O31&lt;=0,0,(G31-O31)*Input!J$18)</f>
        <v>0</v>
      </c>
      <c r="J31" s="1">
        <f>MAX(IFERROR(IF(B31&gt;Input!D$15,0,Y31-(Y31*((D31+F31+G31)/(C31+(C31*Input!D$8))))),0),0)</f>
        <v>0</v>
      </c>
      <c r="K31" s="15">
        <f>MAX(0,(J31-P31)*Input!K$15)</f>
        <v>0</v>
      </c>
      <c r="L31" s="1">
        <f t="shared" si="0"/>
        <v>0</v>
      </c>
      <c r="M31" s="1">
        <f t="shared" si="1"/>
        <v>0</v>
      </c>
      <c r="N31" s="57">
        <f>IF(C31=0,0,SUM(IF(Input!H$15=0.2,VLOOKUP(Z31,Allowances!A:D,4,FALSE)-(VLOOKUP(Z31,Allowances!A:D,4,FALSE)*Input!H$12),IF(Input!H$15=0.4,VLOOKUP(Z31,Allowances!A:D,4,FALSE)/2-((VLOOKUP(Z31,Allowances!A:D,4,FALSE)*Input!H$12)/2),IF(Input!H$15=0.45,0,IF(Input!H$15=0,VLOOKUP(Z31,Allowances!A:D,4,FALSE)-(VLOOKUP(Z31,Allowances!A:D,4,FALSE)*Input!H$12),0))))))</f>
        <v>0</v>
      </c>
      <c r="O31" s="57">
        <f>IF(C31=0,0,VLOOKUP(Z31,Allowances!A:D,3,FALSE)-VLOOKUP(Z31,Allowances!A:D,3,FALSE)*Input!H$11)</f>
        <v>0</v>
      </c>
      <c r="P31" s="57">
        <f>IF(B31&gt;Input!D$15,0,VLOOKUP(Z31,Allowances!A:D,2,FALSE)-(VLOOKUP(Z31,Allowances!A:D,2,FALSE)*Input!H$13))</f>
        <v>0</v>
      </c>
      <c r="Q31" s="1">
        <f t="shared" si="2"/>
        <v>0</v>
      </c>
      <c r="R31" s="1">
        <f>IF(Input!D$15&lt;B31,0,R30+(R30*Input!D$8)-Y31)</f>
        <v>0</v>
      </c>
      <c r="S31" s="1">
        <f>IF(B31&gt;Input!D$15,0,S30+SUM(T31:V31)-SUM(W31:X31)-Y31)</f>
        <v>0</v>
      </c>
      <c r="T31" s="1">
        <f>IF(R31=0,0,S30*Input!D$10)</f>
        <v>0</v>
      </c>
      <c r="U31" s="1">
        <f>IF(B31&gt;Input!D$15,0,S30*Input!D$11)</f>
        <v>0</v>
      </c>
      <c r="V31" s="1">
        <f>IF(B31&gt;Input!D$15,0,S30*Input!D$12)</f>
        <v>0</v>
      </c>
      <c r="W31" s="1">
        <f t="shared" si="3"/>
        <v>0</v>
      </c>
      <c r="X31" s="1">
        <f t="shared" si="5"/>
        <v>0</v>
      </c>
      <c r="Y31" s="1">
        <f>IF(B31&gt;Input!D$15,0,Input!D$7*Input!D$13)</f>
        <v>0</v>
      </c>
      <c r="Z31" s="15">
        <f t="shared" ca="1" si="4"/>
        <v>2054</v>
      </c>
    </row>
    <row r="32" spans="1:26" x14ac:dyDescent="0.3">
      <c r="A32" t="s">
        <v>14</v>
      </c>
      <c r="B32">
        <v>31</v>
      </c>
      <c r="C32" s="1">
        <f>IF(B32&gt;Input!D$15,0,M31)</f>
        <v>0</v>
      </c>
      <c r="D32" s="15">
        <f>IF(B32&gt;Input!D$15,0,(D31-(Y31-J31)+(F31-H31)+(G31-I31)-IFERROR(K31*((Y31-J31)/Y31),0))+IF(Input!H$16="Yes",MIN(Q31,L31),0))</f>
        <v>0</v>
      </c>
      <c r="E32" s="1">
        <f>IF(B32&gt;Input!D$15,0,C32*Input!D$10)</f>
        <v>0</v>
      </c>
      <c r="F32" s="1">
        <f>IF(B32&gt;Input!D$15,0,C32*Input!D$11)</f>
        <v>0</v>
      </c>
      <c r="G32" s="1">
        <f>IF(R32=0,0,C32*Input!D$12)</f>
        <v>0</v>
      </c>
      <c r="H32" s="1">
        <f>IF((F32-N32)*Input!H$15&lt;0,0,(F32-N32)*Input!H$15)</f>
        <v>0</v>
      </c>
      <c r="I32" s="1">
        <f>IF(G32-O32&lt;=0,0,(G32-O32)*Input!J$18)</f>
        <v>0</v>
      </c>
      <c r="J32" s="1">
        <f>MAX(IFERROR(IF(B32&gt;Input!D$15,0,Y32-(Y32*((D32+F32+G32)/(C32+(C32*Input!D$8))))),0),0)</f>
        <v>0</v>
      </c>
      <c r="K32" s="15">
        <f>MAX(0,(J32-P32)*Input!K$15)</f>
        <v>0</v>
      </c>
      <c r="L32" s="1">
        <f t="shared" si="0"/>
        <v>0</v>
      </c>
      <c r="M32" s="1">
        <f t="shared" si="1"/>
        <v>0</v>
      </c>
      <c r="N32" s="57">
        <f>IF(C32=0,0,SUM(IF(Input!H$15=0.2,VLOOKUP(Z32,Allowances!A:D,4,FALSE)-(VLOOKUP(Z32,Allowances!A:D,4,FALSE)*Input!H$12),IF(Input!H$15=0.4,VLOOKUP(Z32,Allowances!A:D,4,FALSE)/2-((VLOOKUP(Z32,Allowances!A:D,4,FALSE)*Input!H$12)/2),IF(Input!H$15=0.45,0,IF(Input!H$15=0,VLOOKUP(Z32,Allowances!A:D,4,FALSE)-(VLOOKUP(Z32,Allowances!A:D,4,FALSE)*Input!H$12),0))))))</f>
        <v>0</v>
      </c>
      <c r="O32" s="57">
        <f>IF(C32=0,0,VLOOKUP(Z32,Allowances!A:D,3,FALSE)-VLOOKUP(Z32,Allowances!A:D,3,FALSE)*Input!H$11)</f>
        <v>0</v>
      </c>
      <c r="P32" s="57">
        <f>IF(B32&gt;Input!D$15,0,VLOOKUP(Z32,Allowances!A:D,2,FALSE)-(VLOOKUP(Z32,Allowances!A:D,2,FALSE)*Input!H$13))</f>
        <v>0</v>
      </c>
      <c r="Q32" s="1">
        <f t="shared" si="2"/>
        <v>0</v>
      </c>
      <c r="R32" s="1">
        <f>IF(Input!D$15&lt;B32,0,R31+(R31*Input!D$8)-Y32)</f>
        <v>0</v>
      </c>
      <c r="S32" s="1">
        <f>IF(B32&gt;Input!D$15,0,S31+SUM(T32:V32)-SUM(W32:X32)-Y32)</f>
        <v>0</v>
      </c>
      <c r="T32" s="1">
        <f>IF(R32=0,0,S31*Input!D$10)</f>
        <v>0</v>
      </c>
      <c r="U32" s="1">
        <f>IF(B32&gt;Input!D$15,0,S31*Input!D$11)</f>
        <v>0</v>
      </c>
      <c r="V32" s="1">
        <f>IF(B32&gt;Input!D$15,0,S31*Input!D$12)</f>
        <v>0</v>
      </c>
      <c r="W32" s="1">
        <f t="shared" si="3"/>
        <v>0</v>
      </c>
      <c r="X32" s="1">
        <f t="shared" si="5"/>
        <v>0</v>
      </c>
      <c r="Y32" s="1">
        <f>IF(B32&gt;Input!D$15,0,Input!D$7*Input!D$13)</f>
        <v>0</v>
      </c>
      <c r="Z32" s="15">
        <f t="shared" ca="1" si="4"/>
        <v>2055</v>
      </c>
    </row>
    <row r="33" spans="1:26" x14ac:dyDescent="0.3">
      <c r="A33" t="s">
        <v>14</v>
      </c>
      <c r="B33">
        <v>32</v>
      </c>
      <c r="C33" s="1">
        <f>IF(B33&gt;Input!D$15,0,M32)</f>
        <v>0</v>
      </c>
      <c r="D33" s="15">
        <f>IF(B33&gt;Input!D$15,0,(D32-(Y32-J32)+(F32-H32)+(G32-I32)-IFERROR(K32*((Y32-J32)/Y32),0))+IF(Input!H$16="Yes",MIN(Q32,L32),0))</f>
        <v>0</v>
      </c>
      <c r="E33" s="1">
        <f>IF(B33&gt;Input!D$15,0,C33*Input!D$10)</f>
        <v>0</v>
      </c>
      <c r="F33" s="1">
        <f>IF(B33&gt;Input!D$15,0,C33*Input!D$11)</f>
        <v>0</v>
      </c>
      <c r="G33" s="1">
        <f>IF(R33=0,0,C33*Input!D$12)</f>
        <v>0</v>
      </c>
      <c r="H33" s="1">
        <f>IF((F33-N33)*Input!H$15&lt;0,0,(F33-N33)*Input!H$15)</f>
        <v>0</v>
      </c>
      <c r="I33" s="1">
        <f>IF(G33-O33&lt;=0,0,(G33-O33)*Input!J$18)</f>
        <v>0</v>
      </c>
      <c r="J33" s="1">
        <f>MAX(IFERROR(IF(B33&gt;Input!D$15,0,Y33-(Y33*((D33+F33+G33)/(C33+(C33*Input!D$8))))),0),0)</f>
        <v>0</v>
      </c>
      <c r="K33" s="15">
        <f>MAX(0,(J33-P33)*Input!K$15)</f>
        <v>0</v>
      </c>
      <c r="L33" s="1">
        <f t="shared" si="0"/>
        <v>0</v>
      </c>
      <c r="M33" s="1">
        <f t="shared" si="1"/>
        <v>0</v>
      </c>
      <c r="N33" s="57">
        <f>IF(C33=0,0,SUM(IF(Input!H$15=0.2,VLOOKUP(Z33,Allowances!A:D,4,FALSE)-(VLOOKUP(Z33,Allowances!A:D,4,FALSE)*Input!H$12),IF(Input!H$15=0.4,VLOOKUP(Z33,Allowances!A:D,4,FALSE)/2-((VLOOKUP(Z33,Allowances!A:D,4,FALSE)*Input!H$12)/2),IF(Input!H$15=0.45,0,IF(Input!H$15=0,VLOOKUP(Z33,Allowances!A:D,4,FALSE)-(VLOOKUP(Z33,Allowances!A:D,4,FALSE)*Input!H$12),0))))))</f>
        <v>0</v>
      </c>
      <c r="O33" s="57">
        <f>IF(C33=0,0,VLOOKUP(Z33,Allowances!A:D,3,FALSE)-VLOOKUP(Z33,Allowances!A:D,3,FALSE)*Input!H$11)</f>
        <v>0</v>
      </c>
      <c r="P33" s="57">
        <f>IF(B33&gt;Input!D$15,0,VLOOKUP(Z33,Allowances!A:D,2,FALSE)-(VLOOKUP(Z33,Allowances!A:D,2,FALSE)*Input!H$13))</f>
        <v>0</v>
      </c>
      <c r="Q33" s="1">
        <f t="shared" si="2"/>
        <v>0</v>
      </c>
      <c r="R33" s="1">
        <f>IF(Input!D$15&lt;B33,0,R32+(R32*Input!D$8)-Y33)</f>
        <v>0</v>
      </c>
      <c r="S33" s="1">
        <f>IF(B33&gt;Input!D$15,0,S32+SUM(T33:V33)-SUM(W33:X33)-Y33)</f>
        <v>0</v>
      </c>
      <c r="T33" s="1">
        <f>IF(R33=0,0,S32*Input!D$10)</f>
        <v>0</v>
      </c>
      <c r="U33" s="1">
        <f>IF(B33&gt;Input!D$15,0,S32*Input!D$11)</f>
        <v>0</v>
      </c>
      <c r="V33" s="1">
        <f>IF(B33&gt;Input!D$15,0,S32*Input!D$12)</f>
        <v>0</v>
      </c>
      <c r="W33" s="1">
        <f t="shared" si="3"/>
        <v>0</v>
      </c>
      <c r="X33" s="1">
        <f t="shared" si="5"/>
        <v>0</v>
      </c>
      <c r="Y33" s="1">
        <f>IF(B33&gt;Input!D$15,0,Input!D$7*Input!D$13)</f>
        <v>0</v>
      </c>
      <c r="Z33" s="15">
        <f t="shared" ca="1" si="4"/>
        <v>2056</v>
      </c>
    </row>
    <row r="34" spans="1:26" x14ac:dyDescent="0.3">
      <c r="A34" t="s">
        <v>14</v>
      </c>
      <c r="B34">
        <v>33</v>
      </c>
      <c r="C34" s="1">
        <f>IF(B34&gt;Input!D$15,0,M33)</f>
        <v>0</v>
      </c>
      <c r="D34" s="15">
        <f>IF(B34&gt;Input!D$15,0,(D33-(Y33-J33)+(F33-H33)+(G33-I33)-IFERROR(K33*((Y33-J33)/Y33),0))+IF(Input!H$16="Yes",MIN(Q33,L33),0))</f>
        <v>0</v>
      </c>
      <c r="E34" s="1">
        <f>IF(B34&gt;Input!D$15,0,C34*Input!D$10)</f>
        <v>0</v>
      </c>
      <c r="F34" s="1">
        <f>IF(B34&gt;Input!D$15,0,C34*Input!D$11)</f>
        <v>0</v>
      </c>
      <c r="G34" s="1">
        <f>IF(R34=0,0,C34*Input!D$12)</f>
        <v>0</v>
      </c>
      <c r="H34" s="1">
        <f>IF((F34-N34)*Input!H$15&lt;0,0,(F34-N34)*Input!H$15)</f>
        <v>0</v>
      </c>
      <c r="I34" s="1">
        <f>IF(G34-O34&lt;=0,0,(G34-O34)*Input!J$18)</f>
        <v>0</v>
      </c>
      <c r="J34" s="1">
        <f>MAX(IFERROR(IF(B34&gt;Input!D$15,0,Y34-(Y34*((D34+F34+G34)/(C34+(C34*Input!D$8))))),0),0)</f>
        <v>0</v>
      </c>
      <c r="K34" s="15">
        <f>MAX(0,(J34-P34)*Input!K$15)</f>
        <v>0</v>
      </c>
      <c r="L34" s="1">
        <f t="shared" si="0"/>
        <v>0</v>
      </c>
      <c r="M34" s="1">
        <f t="shared" ref="M34:M51" si="6">SUM(C34,E34:G34)-SUM(H34:I34,K34)-Y34</f>
        <v>0</v>
      </c>
      <c r="N34" s="57">
        <f>IF(C34=0,0,SUM(IF(Input!H$15=0.2,VLOOKUP(Z34,Allowances!A:D,4,FALSE)-(VLOOKUP(Z34,Allowances!A:D,4,FALSE)*Input!H$12),IF(Input!H$15=0.4,VLOOKUP(Z34,Allowances!A:D,4,FALSE)/2-((VLOOKUP(Z34,Allowances!A:D,4,FALSE)*Input!H$12)/2),IF(Input!H$15=0.45,0,IF(Input!H$15=0,VLOOKUP(Z34,Allowances!A:D,4,FALSE)-(VLOOKUP(Z34,Allowances!A:D,4,FALSE)*Input!H$12),0))))))</f>
        <v>0</v>
      </c>
      <c r="O34" s="57">
        <f>IF(C34=0,0,VLOOKUP(Z34,Allowances!A:D,3,FALSE)-VLOOKUP(Z34,Allowances!A:D,3,FALSE)*Input!H$11)</f>
        <v>0</v>
      </c>
      <c r="P34" s="57">
        <f>IF(B34&gt;Input!D$15,0,VLOOKUP(Z34,Allowances!A:D,2,FALSE)-(VLOOKUP(Z34,Allowances!A:D,2,FALSE)*Input!H$13))</f>
        <v>0</v>
      </c>
      <c r="Q34" s="1">
        <f t="shared" si="2"/>
        <v>0</v>
      </c>
      <c r="R34" s="1">
        <f>IF(Input!D$15&lt;B34,0,R33+(R33*Input!D$8)-Y34)</f>
        <v>0</v>
      </c>
      <c r="S34" s="1">
        <f>IF(B34&gt;Input!D$15,0,S33+SUM(T34:V34)-SUM(W34:X34)-Y34)</f>
        <v>0</v>
      </c>
      <c r="T34" s="1">
        <f>IF(R34=0,0,S33*Input!D$10)</f>
        <v>0</v>
      </c>
      <c r="U34" s="1">
        <f>IF(B34&gt;Input!D$15,0,S33*Input!D$11)</f>
        <v>0</v>
      </c>
      <c r="V34" s="1">
        <f>IF(B34&gt;Input!D$15,0,S33*Input!D$12)</f>
        <v>0</v>
      </c>
      <c r="W34" s="1">
        <f t="shared" si="3"/>
        <v>0</v>
      </c>
      <c r="X34" s="1">
        <f t="shared" si="5"/>
        <v>0</v>
      </c>
      <c r="Y34" s="1">
        <f>IF(B34&gt;Input!D$15,0,Input!D$7*Input!D$13)</f>
        <v>0</v>
      </c>
      <c r="Z34" s="15">
        <f t="shared" ca="1" si="4"/>
        <v>2057</v>
      </c>
    </row>
    <row r="35" spans="1:26" x14ac:dyDescent="0.3">
      <c r="A35" t="s">
        <v>14</v>
      </c>
      <c r="B35">
        <v>34</v>
      </c>
      <c r="C35" s="1">
        <f>IF(B35&gt;Input!D$15,0,M34)</f>
        <v>0</v>
      </c>
      <c r="D35" s="15">
        <f>IF(B35&gt;Input!D$15,0,(D34-(Y34-J34)+(F34-H34)+(G34-I34)-IFERROR(K34*((Y34-J34)/Y34),0))+IF(Input!H$16="Yes",MIN(Q34,L34),0))</f>
        <v>0</v>
      </c>
      <c r="E35" s="1">
        <f>IF(B35&gt;Input!D$15,0,C35*Input!D$10)</f>
        <v>0</v>
      </c>
      <c r="F35" s="1">
        <f>IF(B35&gt;Input!D$15,0,C35*Input!D$11)</f>
        <v>0</v>
      </c>
      <c r="G35" s="1">
        <f>IF(R35=0,0,C35*Input!D$12)</f>
        <v>0</v>
      </c>
      <c r="H35" s="1">
        <f>IF((F35-N35)*Input!H$15&lt;0,0,(F35-N35)*Input!H$15)</f>
        <v>0</v>
      </c>
      <c r="I35" s="1">
        <f>IF(G35-O35&lt;=0,0,(G35-O35)*Input!J$18)</f>
        <v>0</v>
      </c>
      <c r="J35" s="1">
        <f>MAX(IFERROR(IF(B35&gt;Input!D$15,0,Y35-(Y35*((D35+F35+G35)/(C35+(C35*Input!D$8))))),0),0)</f>
        <v>0</v>
      </c>
      <c r="K35" s="15">
        <f>MAX(0,(J35-P35)*Input!K$15)</f>
        <v>0</v>
      </c>
      <c r="L35" s="1">
        <f t="shared" si="0"/>
        <v>0</v>
      </c>
      <c r="M35" s="1">
        <f t="shared" si="6"/>
        <v>0</v>
      </c>
      <c r="N35" s="57">
        <f>IF(C35=0,0,SUM(IF(Input!H$15=0.2,VLOOKUP(Z35,Allowances!A:D,4,FALSE)-(VLOOKUP(Z35,Allowances!A:D,4,FALSE)*Input!H$12),IF(Input!H$15=0.4,VLOOKUP(Z35,Allowances!A:D,4,FALSE)/2-((VLOOKUP(Z35,Allowances!A:D,4,FALSE)*Input!H$12)/2),IF(Input!H$15=0.45,0,IF(Input!H$15=0,VLOOKUP(Z35,Allowances!A:D,4,FALSE)-(VLOOKUP(Z35,Allowances!A:D,4,FALSE)*Input!H$12),0))))))</f>
        <v>0</v>
      </c>
      <c r="O35" s="57">
        <f>IF(C35=0,0,VLOOKUP(Z35,Allowances!A:D,3,FALSE)-VLOOKUP(Z35,Allowances!A:D,3,FALSE)*Input!H$11)</f>
        <v>0</v>
      </c>
      <c r="P35" s="57">
        <f>IF(B35&gt;Input!D$15,0,VLOOKUP(Z35,Allowances!A:D,2,FALSE)-(VLOOKUP(Z35,Allowances!A:D,2,FALSE)*Input!H$13))</f>
        <v>0</v>
      </c>
      <c r="Q35" s="1">
        <f t="shared" si="2"/>
        <v>0</v>
      </c>
      <c r="R35" s="1">
        <f>IF(Input!D$15&lt;B35,0,R34+(R34*Input!D$8)-Y35)</f>
        <v>0</v>
      </c>
      <c r="S35" s="1">
        <f>IF(B35&gt;Input!D$15,0,S34+SUM(T35:V35)-SUM(W35:X35)-Y35)</f>
        <v>0</v>
      </c>
      <c r="T35" s="1">
        <f>IF(R35=0,0,S34*Input!D$10)</f>
        <v>0</v>
      </c>
      <c r="U35" s="1">
        <f>IF(B35&gt;Input!D$15,0,S34*Input!D$11)</f>
        <v>0</v>
      </c>
      <c r="V35" s="1">
        <f>IF(B35&gt;Input!D$15,0,S34*Input!D$12)</f>
        <v>0</v>
      </c>
      <c r="W35" s="1">
        <f t="shared" si="3"/>
        <v>0</v>
      </c>
      <c r="X35" s="1">
        <f t="shared" si="5"/>
        <v>0</v>
      </c>
      <c r="Y35" s="1">
        <f>IF(B35&gt;Input!D$15,0,Input!D$7*Input!D$13)</f>
        <v>0</v>
      </c>
      <c r="Z35" s="15">
        <f t="shared" ca="1" si="4"/>
        <v>2058</v>
      </c>
    </row>
    <row r="36" spans="1:26" x14ac:dyDescent="0.3">
      <c r="A36" t="s">
        <v>14</v>
      </c>
      <c r="B36">
        <v>35</v>
      </c>
      <c r="C36" s="1">
        <f>IF(B36&gt;Input!D$15,0,M35)</f>
        <v>0</v>
      </c>
      <c r="D36" s="15">
        <f>IF(B36&gt;Input!D$15,0,(D35-(Y35-J35)+(F35-H35)+(G35-I35)-IFERROR(K35*((Y35-J35)/Y35),0))+IF(Input!H$16="Yes",MIN(Q35,L35),0))</f>
        <v>0</v>
      </c>
      <c r="E36" s="1">
        <f>IF(B36&gt;Input!D$15,0,C36*Input!D$10)</f>
        <v>0</v>
      </c>
      <c r="F36" s="1">
        <f>IF(B36&gt;Input!D$15,0,C36*Input!D$11)</f>
        <v>0</v>
      </c>
      <c r="G36" s="1">
        <f>IF(R36=0,0,C36*Input!D$12)</f>
        <v>0</v>
      </c>
      <c r="H36" s="1">
        <f>IF((F36-N36)*Input!H$15&lt;0,0,(F36-N36)*Input!H$15)</f>
        <v>0</v>
      </c>
      <c r="I36" s="1">
        <f>IF(G36-O36&lt;=0,0,(G36-O36)*Input!J$18)</f>
        <v>0</v>
      </c>
      <c r="J36" s="1">
        <f>MAX(IFERROR(IF(B36&gt;Input!D$15,0,Y36-(Y36*((D36+F36+G36)/(C36+(C36*Input!D$8))))),0),0)</f>
        <v>0</v>
      </c>
      <c r="K36" s="15">
        <f>MAX(0,(J36-P36)*Input!K$15)</f>
        <v>0</v>
      </c>
      <c r="L36" s="1">
        <f t="shared" si="0"/>
        <v>0</v>
      </c>
      <c r="M36" s="1">
        <f t="shared" si="6"/>
        <v>0</v>
      </c>
      <c r="N36" s="57">
        <f>IF(C36=0,0,SUM(IF(Input!H$15=0.2,VLOOKUP(Z36,Allowances!A:D,4,FALSE)-(VLOOKUP(Z36,Allowances!A:D,4,FALSE)*Input!H$12),IF(Input!H$15=0.4,VLOOKUP(Z36,Allowances!A:D,4,FALSE)/2-((VLOOKUP(Z36,Allowances!A:D,4,FALSE)*Input!H$12)/2),IF(Input!H$15=0.45,0,IF(Input!H$15=0,VLOOKUP(Z36,Allowances!A:D,4,FALSE)-(VLOOKUP(Z36,Allowances!A:D,4,FALSE)*Input!H$12),0))))))</f>
        <v>0</v>
      </c>
      <c r="O36" s="57">
        <f>IF(C36=0,0,VLOOKUP(Z36,Allowances!A:D,3,FALSE)-VLOOKUP(Z36,Allowances!A:D,3,FALSE)*Input!H$11)</f>
        <v>0</v>
      </c>
      <c r="P36" s="57">
        <f>IF(B36&gt;Input!D$15,0,VLOOKUP(Z36,Allowances!A:D,2,FALSE)-(VLOOKUP(Z36,Allowances!A:D,2,FALSE)*Input!H$13))</f>
        <v>0</v>
      </c>
      <c r="Q36" s="1">
        <f t="shared" si="2"/>
        <v>0</v>
      </c>
      <c r="R36" s="1">
        <f>IF(Input!D$15&lt;B36,0,R35+(R35*Input!D$8)-Y36)</f>
        <v>0</v>
      </c>
      <c r="S36" s="1">
        <f>IF(B36&gt;Input!D$15,0,S35+SUM(T36:V36)-SUM(W36:X36)-Y36)</f>
        <v>0</v>
      </c>
      <c r="T36" s="1">
        <f>IF(R36=0,0,S35*Input!D$10)</f>
        <v>0</v>
      </c>
      <c r="U36" s="1">
        <f>IF(B36&gt;Input!D$15,0,S35*Input!D$11)</f>
        <v>0</v>
      </c>
      <c r="V36" s="1">
        <f>IF(B36&gt;Input!D$15,0,S35*Input!D$12)</f>
        <v>0</v>
      </c>
      <c r="W36" s="1">
        <f t="shared" si="3"/>
        <v>0</v>
      </c>
      <c r="X36" s="1">
        <f t="shared" si="5"/>
        <v>0</v>
      </c>
      <c r="Y36" s="1">
        <f>IF(B36&gt;Input!D$15,0,Input!D$7*Input!D$13)</f>
        <v>0</v>
      </c>
      <c r="Z36" s="15">
        <f t="shared" ca="1" si="4"/>
        <v>2059</v>
      </c>
    </row>
    <row r="37" spans="1:26" x14ac:dyDescent="0.3">
      <c r="A37" t="s">
        <v>14</v>
      </c>
      <c r="B37">
        <v>36</v>
      </c>
      <c r="C37" s="1">
        <f>IF(B37&gt;Input!D$15,0,M36)</f>
        <v>0</v>
      </c>
      <c r="D37" s="15">
        <f>IF(B37&gt;Input!D$15,0,(D36-(Y36-J36)+(F36-H36)+(G36-I36)-IFERROR(K36*((Y36-J36)/Y36),0))+IF(Input!H$16="Yes",MIN(Q36,L36),0))</f>
        <v>0</v>
      </c>
      <c r="E37" s="1">
        <f>IF(B37&gt;Input!D$15,0,C37*Input!D$10)</f>
        <v>0</v>
      </c>
      <c r="F37" s="1">
        <f>IF(B37&gt;Input!D$15,0,C37*Input!D$11)</f>
        <v>0</v>
      </c>
      <c r="G37" s="1">
        <f>IF(R37=0,0,C37*Input!D$12)</f>
        <v>0</v>
      </c>
      <c r="H37" s="1">
        <f>IF((F37-N37)*Input!H$15&lt;0,0,(F37-N37)*Input!H$15)</f>
        <v>0</v>
      </c>
      <c r="I37" s="1">
        <f>IF(G37-O37&lt;=0,0,(G37-O37)*Input!J$18)</f>
        <v>0</v>
      </c>
      <c r="J37" s="1">
        <f>MAX(IFERROR(IF(B37&gt;Input!D$15,0,Y37-(Y37*((D37+F37+G37)/(C37+(C37*Input!D$8))))),0),0)</f>
        <v>0</v>
      </c>
      <c r="K37" s="15">
        <f>MAX(0,(J37-P37)*Input!K$15)</f>
        <v>0</v>
      </c>
      <c r="L37" s="1">
        <f t="shared" si="0"/>
        <v>0</v>
      </c>
      <c r="M37" s="1">
        <f t="shared" si="6"/>
        <v>0</v>
      </c>
      <c r="N37" s="57">
        <f>IF(C37=0,0,SUM(IF(Input!H$15=0.2,VLOOKUP(Z37,Allowances!A:D,4,FALSE)-(VLOOKUP(Z37,Allowances!A:D,4,FALSE)*Input!H$12),IF(Input!H$15=0.4,VLOOKUP(Z37,Allowances!A:D,4,FALSE)/2-((VLOOKUP(Z37,Allowances!A:D,4,FALSE)*Input!H$12)/2),IF(Input!H$15=0.45,0,IF(Input!H$15=0,VLOOKUP(Z37,Allowances!A:D,4,FALSE)-(VLOOKUP(Z37,Allowances!A:D,4,FALSE)*Input!H$12),0))))))</f>
        <v>0</v>
      </c>
      <c r="O37" s="57">
        <f>IF(C37=0,0,VLOOKUP(Z37,Allowances!A:D,3,FALSE)-VLOOKUP(Z37,Allowances!A:D,3,FALSE)*Input!H$11)</f>
        <v>0</v>
      </c>
      <c r="P37" s="57">
        <f>IF(B37&gt;Input!D$15,0,VLOOKUP(Z37,Allowances!A:D,2,FALSE)-(VLOOKUP(Z37,Allowances!A:D,2,FALSE)*Input!H$13))</f>
        <v>0</v>
      </c>
      <c r="Q37" s="1">
        <f t="shared" si="2"/>
        <v>0</v>
      </c>
      <c r="R37" s="1">
        <f>IF(Input!D$15&lt;B37,0,R36+(R36*Input!D$8)-Y37)</f>
        <v>0</v>
      </c>
      <c r="S37" s="1">
        <f>IF(B37&gt;Input!D$15,0,S36+SUM(T37:V37)-SUM(W37:X37)-Y37)</f>
        <v>0</v>
      </c>
      <c r="T37" s="1">
        <f>IF(R37=0,0,S36*Input!D$10)</f>
        <v>0</v>
      </c>
      <c r="U37" s="1">
        <f>IF(B37&gt;Input!D$15,0,S36*Input!D$11)</f>
        <v>0</v>
      </c>
      <c r="V37" s="1">
        <f>IF(B37&gt;Input!D$15,0,S36*Input!D$12)</f>
        <v>0</v>
      </c>
      <c r="W37" s="1">
        <f t="shared" si="3"/>
        <v>0</v>
      </c>
      <c r="X37" s="1">
        <f t="shared" si="5"/>
        <v>0</v>
      </c>
      <c r="Y37" s="1">
        <f>IF(B37&gt;Input!D$15,0,Input!D$7*Input!D$13)</f>
        <v>0</v>
      </c>
      <c r="Z37" s="15">
        <f t="shared" ca="1" si="4"/>
        <v>2060</v>
      </c>
    </row>
    <row r="38" spans="1:26" x14ac:dyDescent="0.3">
      <c r="A38" t="s">
        <v>14</v>
      </c>
      <c r="B38">
        <v>37</v>
      </c>
      <c r="C38" s="1">
        <f>IF(B38&gt;Input!D$15,0,M37)</f>
        <v>0</v>
      </c>
      <c r="D38" s="15">
        <f>IF(B38&gt;Input!D$15,0,(D37-(Y37-J37)+(F37-H37)+(G37-I37)-IFERROR(K37*((Y37-J37)/Y37),0))+IF(Input!H$16="Yes",MIN(Q37,L37),0))</f>
        <v>0</v>
      </c>
      <c r="E38" s="1">
        <f>IF(B38&gt;Input!D$15,0,C38*Input!D$10)</f>
        <v>0</v>
      </c>
      <c r="F38" s="1">
        <f>IF(B38&gt;Input!D$15,0,C38*Input!D$11)</f>
        <v>0</v>
      </c>
      <c r="G38" s="1">
        <f>IF(R38=0,0,C38*Input!D$12)</f>
        <v>0</v>
      </c>
      <c r="H38" s="1">
        <f>IF((F38-N38)*Input!H$15&lt;0,0,(F38-N38)*Input!H$15)</f>
        <v>0</v>
      </c>
      <c r="I38" s="1">
        <f>IF(G38-O38&lt;=0,0,(G38-O38)*Input!J$18)</f>
        <v>0</v>
      </c>
      <c r="J38" s="1">
        <f>MAX(IFERROR(IF(B38&gt;Input!D$15,0,Y38-(Y38*((D38+F38+G38)/(C38+(C38*Input!D$8))))),0),0)</f>
        <v>0</v>
      </c>
      <c r="K38" s="15">
        <f>MAX(0,(J38-P38)*Input!K$15)</f>
        <v>0</v>
      </c>
      <c r="L38" s="1">
        <f t="shared" si="0"/>
        <v>0</v>
      </c>
      <c r="M38" s="1">
        <f t="shared" si="6"/>
        <v>0</v>
      </c>
      <c r="N38" s="57">
        <f>IF(C38=0,0,SUM(IF(Input!H$15=0.2,VLOOKUP(Z38,Allowances!A:D,4,FALSE)-(VLOOKUP(Z38,Allowances!A:D,4,FALSE)*Input!H$12),IF(Input!H$15=0.4,VLOOKUP(Z38,Allowances!A:D,4,FALSE)/2-((VLOOKUP(Z38,Allowances!A:D,4,FALSE)*Input!H$12)/2),IF(Input!H$15=0.45,0,IF(Input!H$15=0,VLOOKUP(Z38,Allowances!A:D,4,FALSE)-(VLOOKUP(Z38,Allowances!A:D,4,FALSE)*Input!H$12),0))))))</f>
        <v>0</v>
      </c>
      <c r="O38" s="57">
        <f>IF(C38=0,0,VLOOKUP(Z38,Allowances!A:D,3,FALSE)-VLOOKUP(Z38,Allowances!A:D,3,FALSE)*Input!H$11)</f>
        <v>0</v>
      </c>
      <c r="P38" s="57">
        <f>IF(B38&gt;Input!D$15,0,VLOOKUP(Z38,Allowances!A:D,2,FALSE)-(VLOOKUP(Z38,Allowances!A:D,2,FALSE)*Input!H$13))</f>
        <v>0</v>
      </c>
      <c r="Q38" s="1">
        <f t="shared" si="2"/>
        <v>0</v>
      </c>
      <c r="R38" s="1">
        <f>IF(Input!D$15&lt;B38,0,R37+(R37*Input!D$8)-Y38)</f>
        <v>0</v>
      </c>
      <c r="S38" s="1">
        <f>IF(B38&gt;Input!D$15,0,S37+SUM(T38:V38)-SUM(W38:X38)-Y38)</f>
        <v>0</v>
      </c>
      <c r="T38" s="1">
        <f>IF(R38=0,0,S37*Input!D$10)</f>
        <v>0</v>
      </c>
      <c r="U38" s="1">
        <f>IF(B38&gt;Input!D$15,0,S37*Input!D$11)</f>
        <v>0</v>
      </c>
      <c r="V38" s="1">
        <f>IF(B38&gt;Input!D$15,0,S37*Input!D$12)</f>
        <v>0</v>
      </c>
      <c r="W38" s="1">
        <f t="shared" si="3"/>
        <v>0</v>
      </c>
      <c r="X38" s="1">
        <f t="shared" si="5"/>
        <v>0</v>
      </c>
      <c r="Y38" s="1">
        <f>IF(B38&gt;Input!D$15,0,Input!D$7*Input!D$13)</f>
        <v>0</v>
      </c>
      <c r="Z38" s="15">
        <f t="shared" ca="1" si="4"/>
        <v>2061</v>
      </c>
    </row>
    <row r="39" spans="1:26" x14ac:dyDescent="0.3">
      <c r="A39" t="s">
        <v>14</v>
      </c>
      <c r="B39">
        <v>38</v>
      </c>
      <c r="C39" s="1">
        <f>IF(B39&gt;Input!D$15,0,M38)</f>
        <v>0</v>
      </c>
      <c r="D39" s="15">
        <f>IF(B39&gt;Input!D$15,0,(D38-(Y38-J38)+(F38-H38)+(G38-I38)-IFERROR(K38*((Y38-J38)/Y38),0))+IF(Input!H$16="Yes",MIN(Q38,L38),0))</f>
        <v>0</v>
      </c>
      <c r="E39" s="1">
        <f>IF(B39&gt;Input!D$15,0,C39*Input!D$10)</f>
        <v>0</v>
      </c>
      <c r="F39" s="1">
        <f>IF(B39&gt;Input!D$15,0,C39*Input!D$11)</f>
        <v>0</v>
      </c>
      <c r="G39" s="1">
        <f>IF(R39=0,0,C39*Input!D$12)</f>
        <v>0</v>
      </c>
      <c r="H39" s="1">
        <f>IF((F39-N39)*Input!H$15&lt;0,0,(F39-N39)*Input!H$15)</f>
        <v>0</v>
      </c>
      <c r="I39" s="1">
        <f>IF(G39-O39&lt;=0,0,(G39-O39)*Input!J$18)</f>
        <v>0</v>
      </c>
      <c r="J39" s="1">
        <f>MAX(IFERROR(IF(B39&gt;Input!D$15,0,Y39-(Y39*((D39+F39+G39)/(C39+(C39*Input!D$8))))),0),0)</f>
        <v>0</v>
      </c>
      <c r="K39" s="15">
        <f>MAX(0,(J39-P39)*Input!K$15)</f>
        <v>0</v>
      </c>
      <c r="L39" s="1">
        <f t="shared" si="0"/>
        <v>0</v>
      </c>
      <c r="M39" s="1">
        <f t="shared" si="6"/>
        <v>0</v>
      </c>
      <c r="N39" s="57">
        <f>IF(C39=0,0,SUM(IF(Input!H$15=0.2,VLOOKUP(Z39,Allowances!A:D,4,FALSE)-(VLOOKUP(Z39,Allowances!A:D,4,FALSE)*Input!H$12),IF(Input!H$15=0.4,VLOOKUP(Z39,Allowances!A:D,4,FALSE)/2-((VLOOKUP(Z39,Allowances!A:D,4,FALSE)*Input!H$12)/2),IF(Input!H$15=0.45,0,IF(Input!H$15=0,VLOOKUP(Z39,Allowances!A:D,4,FALSE)-(VLOOKUP(Z39,Allowances!A:D,4,FALSE)*Input!H$12),0))))))</f>
        <v>0</v>
      </c>
      <c r="O39" s="57">
        <f>IF(C39=0,0,VLOOKUP(Z39,Allowances!A:D,3,FALSE)-VLOOKUP(Z39,Allowances!A:D,3,FALSE)*Input!H$11)</f>
        <v>0</v>
      </c>
      <c r="P39" s="57">
        <f>IF(B39&gt;Input!D$15,0,VLOOKUP(Z39,Allowances!A:D,2,FALSE)-(VLOOKUP(Z39,Allowances!A:D,2,FALSE)*Input!H$13))</f>
        <v>0</v>
      </c>
      <c r="Q39" s="1">
        <f t="shared" si="2"/>
        <v>0</v>
      </c>
      <c r="R39" s="1">
        <f>IF(Input!D$15&lt;B39,0,R38+(R38*Input!D$8)-Y39)</f>
        <v>0</v>
      </c>
      <c r="S39" s="1">
        <f>IF(B39&gt;Input!D$15,0,S38+SUM(T39:V39)-SUM(W39:X39)-Y39)</f>
        <v>0</v>
      </c>
      <c r="T39" s="1">
        <f>IF(R39=0,0,S38*Input!D$10)</f>
        <v>0</v>
      </c>
      <c r="U39" s="1">
        <f>IF(B39&gt;Input!D$15,0,S38*Input!D$11)</f>
        <v>0</v>
      </c>
      <c r="V39" s="1">
        <f>IF(B39&gt;Input!D$15,0,S38*Input!D$12)</f>
        <v>0</v>
      </c>
      <c r="W39" s="1">
        <f t="shared" si="3"/>
        <v>0</v>
      </c>
      <c r="X39" s="1">
        <f t="shared" si="5"/>
        <v>0</v>
      </c>
      <c r="Y39" s="1">
        <f>IF(B39&gt;Input!D$15,0,Input!D$7*Input!D$13)</f>
        <v>0</v>
      </c>
      <c r="Z39" s="15">
        <f t="shared" ca="1" si="4"/>
        <v>2062</v>
      </c>
    </row>
    <row r="40" spans="1:26" x14ac:dyDescent="0.3">
      <c r="A40" t="s">
        <v>14</v>
      </c>
      <c r="B40">
        <v>39</v>
      </c>
      <c r="C40" s="1">
        <f>IF(B40&gt;Input!D$15,0,M39)</f>
        <v>0</v>
      </c>
      <c r="D40" s="15">
        <f>IF(B40&gt;Input!D$15,0,(D39-(Y39-J39)+(F39-H39)+(G39-I39)-IFERROR(K39*((Y39-J39)/Y39),0))+IF(Input!H$16="Yes",MIN(Q39,L39),0))</f>
        <v>0</v>
      </c>
      <c r="E40" s="1">
        <f>IF(B40&gt;Input!D$15,0,C40*Input!D$10)</f>
        <v>0</v>
      </c>
      <c r="F40" s="1">
        <f>IF(B40&gt;Input!D$15,0,C40*Input!D$11)</f>
        <v>0</v>
      </c>
      <c r="G40" s="1">
        <f>IF(R40=0,0,C40*Input!D$12)</f>
        <v>0</v>
      </c>
      <c r="H40" s="1">
        <f>IF((F40-N40)*Input!H$15&lt;0,0,(F40-N40)*Input!H$15)</f>
        <v>0</v>
      </c>
      <c r="I40" s="1">
        <f>IF(G40-O40&lt;=0,0,(G40-O40)*Input!J$18)</f>
        <v>0</v>
      </c>
      <c r="J40" s="1">
        <f>MAX(IFERROR(IF(B40&gt;Input!D$15,0,Y40-(Y40*((D40+F40+G40)/(C40+(C40*Input!D$8))))),0),0)</f>
        <v>0</v>
      </c>
      <c r="K40" s="15">
        <f>MAX(0,(J40-P40)*Input!K$15)</f>
        <v>0</v>
      </c>
      <c r="L40" s="1">
        <f t="shared" si="0"/>
        <v>0</v>
      </c>
      <c r="M40" s="1">
        <f t="shared" si="6"/>
        <v>0</v>
      </c>
      <c r="N40" s="57">
        <f>IF(C40=0,0,SUM(IF(Input!H$15=0.2,VLOOKUP(Z40,Allowances!A:D,4,FALSE)-(VLOOKUP(Z40,Allowances!A:D,4,FALSE)*Input!H$12),IF(Input!H$15=0.4,VLOOKUP(Z40,Allowances!A:D,4,FALSE)/2-((VLOOKUP(Z40,Allowances!A:D,4,FALSE)*Input!H$12)/2),IF(Input!H$15=0.45,0,IF(Input!H$15=0,VLOOKUP(Z40,Allowances!A:D,4,FALSE)-(VLOOKUP(Z40,Allowances!A:D,4,FALSE)*Input!H$12),0))))))</f>
        <v>0</v>
      </c>
      <c r="O40" s="57">
        <f>IF(C40=0,0,VLOOKUP(Z40,Allowances!A:D,3,FALSE)-VLOOKUP(Z40,Allowances!A:D,3,FALSE)*Input!H$11)</f>
        <v>0</v>
      </c>
      <c r="P40" s="57">
        <f>IF(B40&gt;Input!D$15,0,VLOOKUP(Z40,Allowances!A:D,2,FALSE)-(VLOOKUP(Z40,Allowances!A:D,2,FALSE)*Input!H$13))</f>
        <v>0</v>
      </c>
      <c r="Q40" s="1">
        <f t="shared" si="2"/>
        <v>0</v>
      </c>
      <c r="R40" s="1">
        <f>IF(Input!D$15&lt;B40,0,R39+(R39*Input!D$8)-Y40)</f>
        <v>0</v>
      </c>
      <c r="S40" s="1">
        <f>IF(B40&gt;Input!D$15,0,S39+SUM(T40:V40)-SUM(W40:X40)-Y40)</f>
        <v>0</v>
      </c>
      <c r="T40" s="1">
        <f>IF(R40=0,0,S39*Input!D$10)</f>
        <v>0</v>
      </c>
      <c r="U40" s="1">
        <f>IF(B40&gt;Input!D$15,0,S39*Input!D$11)</f>
        <v>0</v>
      </c>
      <c r="V40" s="1">
        <f>IF(B40&gt;Input!D$15,0,S39*Input!D$12)</f>
        <v>0</v>
      </c>
      <c r="W40" s="1">
        <f t="shared" si="3"/>
        <v>0</v>
      </c>
      <c r="X40" s="1">
        <f t="shared" si="5"/>
        <v>0</v>
      </c>
      <c r="Y40" s="1">
        <f>IF(B40&gt;Input!D$15,0,Input!D$7*Input!D$13)</f>
        <v>0</v>
      </c>
      <c r="Z40" s="15">
        <f t="shared" ca="1" si="4"/>
        <v>2063</v>
      </c>
    </row>
    <row r="41" spans="1:26" x14ac:dyDescent="0.3">
      <c r="A41" t="s">
        <v>14</v>
      </c>
      <c r="B41">
        <v>40</v>
      </c>
      <c r="C41" s="1">
        <f>IF(B41&gt;Input!D$15,0,M40)</f>
        <v>0</v>
      </c>
      <c r="D41" s="15">
        <f>IF(B41&gt;Input!D$15,0,(D40-(Y40-J40)+(F40-H40)+(G40-I40)-IFERROR(K40*((Y40-J40)/Y40),0))+IF(Input!H$16="Yes",MIN(Q40,L40),0))</f>
        <v>0</v>
      </c>
      <c r="E41" s="1">
        <f>IF(B41&gt;Input!D$15,0,C41*Input!D$10)</f>
        <v>0</v>
      </c>
      <c r="F41" s="1">
        <f>IF(B41&gt;Input!D$15,0,C41*Input!D$11)</f>
        <v>0</v>
      </c>
      <c r="G41" s="1">
        <f>IF(R41=0,0,C41*Input!D$12)</f>
        <v>0</v>
      </c>
      <c r="H41" s="1">
        <f>IF((F41-N41)*Input!H$15&lt;0,0,(F41-N41)*Input!H$15)</f>
        <v>0</v>
      </c>
      <c r="I41" s="1">
        <f>IF(G41-O41&lt;=0,0,(G41-O41)*Input!J$18)</f>
        <v>0</v>
      </c>
      <c r="J41" s="1">
        <f>MAX(IFERROR(IF(B41&gt;Input!D$15,0,Y41-(Y41*((D41+F41+G41)/(C41+(C41*Input!D$8))))),0),0)</f>
        <v>0</v>
      </c>
      <c r="K41" s="15">
        <f>MAX(0,(J41-P41)*Input!K$15)</f>
        <v>0</v>
      </c>
      <c r="L41" s="1">
        <f t="shared" si="0"/>
        <v>0</v>
      </c>
      <c r="M41" s="1">
        <f t="shared" si="6"/>
        <v>0</v>
      </c>
      <c r="N41" s="57">
        <f>IF(C41=0,0,SUM(IF(Input!H$15=0.2,VLOOKUP(Z41,Allowances!A:D,4,FALSE)-(VLOOKUP(Z41,Allowances!A:D,4,FALSE)*Input!H$12),IF(Input!H$15=0.4,VLOOKUP(Z41,Allowances!A:D,4,FALSE)/2-((VLOOKUP(Z41,Allowances!A:D,4,FALSE)*Input!H$12)/2),IF(Input!H$15=0.45,0,IF(Input!H$15=0,VLOOKUP(Z41,Allowances!A:D,4,FALSE)-(VLOOKUP(Z41,Allowances!A:D,4,FALSE)*Input!H$12),0))))))</f>
        <v>0</v>
      </c>
      <c r="O41" s="57">
        <f>IF(C41=0,0,VLOOKUP(Z41,Allowances!A:D,3,FALSE)-VLOOKUP(Z41,Allowances!A:D,3,FALSE)*Input!H$11)</f>
        <v>0</v>
      </c>
      <c r="P41" s="57">
        <f>IF(B41&gt;Input!D$15,0,VLOOKUP(Z41,Allowances!A:D,2,FALSE)-(VLOOKUP(Z41,Allowances!A:D,2,FALSE)*Input!H$13))</f>
        <v>0</v>
      </c>
      <c r="Q41" s="1">
        <f t="shared" si="2"/>
        <v>0</v>
      </c>
      <c r="R41" s="1">
        <f>IF(Input!D$15&lt;B41,0,R40+(R40*Input!D$8)-Y41)</f>
        <v>0</v>
      </c>
      <c r="S41" s="1">
        <f>IF(B41&gt;Input!D$15,0,S40+SUM(T41:V41)-SUM(W41:X41)-Y41)</f>
        <v>0</v>
      </c>
      <c r="T41" s="1">
        <f>IF(R41=0,0,S40*Input!D$10)</f>
        <v>0</v>
      </c>
      <c r="U41" s="1">
        <f>IF(B41&gt;Input!D$15,0,S40*Input!D$11)</f>
        <v>0</v>
      </c>
      <c r="V41" s="1">
        <f>IF(B41&gt;Input!D$15,0,S40*Input!D$12)</f>
        <v>0</v>
      </c>
      <c r="W41" s="1">
        <f t="shared" si="3"/>
        <v>0</v>
      </c>
      <c r="X41" s="1">
        <f t="shared" si="5"/>
        <v>0</v>
      </c>
      <c r="Y41" s="1">
        <f>IF(B41&gt;Input!D$15,0,Input!D$7*Input!D$13)</f>
        <v>0</v>
      </c>
      <c r="Z41" s="15">
        <f t="shared" ca="1" si="4"/>
        <v>2064</v>
      </c>
    </row>
    <row r="42" spans="1:26" x14ac:dyDescent="0.3">
      <c r="A42" t="s">
        <v>14</v>
      </c>
      <c r="B42">
        <v>41</v>
      </c>
      <c r="C42" s="1">
        <f>IF(B42&gt;Input!D$15,0,M41)</f>
        <v>0</v>
      </c>
      <c r="D42" s="15">
        <f>IF(B42&gt;Input!D$15,0,(D41-(Y41-J41)+(F41-H41)+(G41-I41)-IFERROR(K41*((Y41-J41)/Y41),0))+IF(Input!H$16="Yes",MIN(Q41,L41),0))</f>
        <v>0</v>
      </c>
      <c r="E42" s="1">
        <f>IF(B42&gt;Input!D$15,0,C42*Input!D$10)</f>
        <v>0</v>
      </c>
      <c r="F42" s="1">
        <f>IF(B42&gt;Input!D$15,0,C42*Input!D$11)</f>
        <v>0</v>
      </c>
      <c r="G42" s="1">
        <f>IF(R42=0,0,C42*Input!D$12)</f>
        <v>0</v>
      </c>
      <c r="H42" s="1">
        <f>IF((F42-N42)*Input!H$15&lt;0,0,(F42-N42)*Input!H$15)</f>
        <v>0</v>
      </c>
      <c r="I42" s="1">
        <f>IF(G42-O42&lt;=0,0,(G42-O42)*Input!J$18)</f>
        <v>0</v>
      </c>
      <c r="J42" s="1">
        <f>MAX(IFERROR(IF(B42&gt;Input!D$15,0,Y42-(Y42*((D42+F42+G42)/(C42+(C42*Input!D$8))))),0),0)</f>
        <v>0</v>
      </c>
      <c r="K42" s="15">
        <f>MAX(0,(J42-P42)*Input!K$15)</f>
        <v>0</v>
      </c>
      <c r="L42" s="1">
        <f t="shared" si="0"/>
        <v>0</v>
      </c>
      <c r="M42" s="1">
        <f t="shared" si="6"/>
        <v>0</v>
      </c>
      <c r="N42" s="57">
        <f>IF(C42=0,0,SUM(IF(Input!H$15=0.2,VLOOKUP(Z42,Allowances!A:D,4,FALSE)-(VLOOKUP(Z42,Allowances!A:D,4,FALSE)*Input!H$12),IF(Input!H$15=0.4,VLOOKUP(Z42,Allowances!A:D,4,FALSE)/2-((VLOOKUP(Z42,Allowances!A:D,4,FALSE)*Input!H$12)/2),IF(Input!H$15=0.45,0,IF(Input!H$15=0,VLOOKUP(Z42,Allowances!A:D,4,FALSE)-(VLOOKUP(Z42,Allowances!A:D,4,FALSE)*Input!H$12),0))))))</f>
        <v>0</v>
      </c>
      <c r="O42" s="57">
        <f>IF(C42=0,0,VLOOKUP(Z42,Allowances!A:D,3,FALSE)-VLOOKUP(Z42,Allowances!A:D,3,FALSE)*Input!H$11)</f>
        <v>0</v>
      </c>
      <c r="P42" s="57">
        <f>IF(B42&gt;Input!D$15,0,VLOOKUP(Z42,Allowances!A:D,2,FALSE)-(VLOOKUP(Z42,Allowances!A:D,2,FALSE)*Input!H$13))</f>
        <v>0</v>
      </c>
      <c r="Q42" s="1">
        <f t="shared" si="2"/>
        <v>0</v>
      </c>
      <c r="R42" s="1">
        <f>IF(Input!D$15&lt;B42,0,R41+(R41*Input!D$8)-Y42)</f>
        <v>0</v>
      </c>
      <c r="S42" s="1">
        <f>IF(B42&gt;Input!D$15,0,S41+SUM(T42:V42)-SUM(W42:X42)-Y42)</f>
        <v>0</v>
      </c>
      <c r="T42" s="1">
        <f>IF(R42=0,0,S41*Input!D$10)</f>
        <v>0</v>
      </c>
      <c r="U42" s="1">
        <f>IF(B42&gt;Input!D$15,0,S41*Input!D$11)</f>
        <v>0</v>
      </c>
      <c r="V42" s="1">
        <f>IF(B42&gt;Input!D$15,0,S41*Input!D$12)</f>
        <v>0</v>
      </c>
      <c r="W42" s="1">
        <f t="shared" si="3"/>
        <v>0</v>
      </c>
      <c r="X42" s="1">
        <f t="shared" si="5"/>
        <v>0</v>
      </c>
      <c r="Y42" s="1">
        <f>IF(B42&gt;Input!D$15,0,Input!D$7*Input!D$13)</f>
        <v>0</v>
      </c>
      <c r="Z42" s="15">
        <f t="shared" ca="1" si="4"/>
        <v>2065</v>
      </c>
    </row>
    <row r="43" spans="1:26" x14ac:dyDescent="0.3">
      <c r="A43" t="s">
        <v>14</v>
      </c>
      <c r="B43">
        <v>42</v>
      </c>
      <c r="C43" s="1">
        <f>IF(B43&gt;Input!D$15,0,M42)</f>
        <v>0</v>
      </c>
      <c r="D43" s="15">
        <f>IF(B43&gt;Input!D$15,0,(D42-(Y42-J42)+(F42-H42)+(G42-I42)-IFERROR(K42*((Y42-J42)/Y42),0))+IF(Input!H$16="Yes",MIN(Q42,L42),0))</f>
        <v>0</v>
      </c>
      <c r="E43" s="1">
        <f>IF(B43&gt;Input!D$15,0,C43*Input!D$10)</f>
        <v>0</v>
      </c>
      <c r="F43" s="1">
        <f>IF(B43&gt;Input!D$15,0,C43*Input!D$11)</f>
        <v>0</v>
      </c>
      <c r="G43" s="1">
        <f>IF(R43=0,0,C43*Input!D$12)</f>
        <v>0</v>
      </c>
      <c r="H43" s="1">
        <f>IF((F43-N43)*Input!H$15&lt;0,0,(F43-N43)*Input!H$15)</f>
        <v>0</v>
      </c>
      <c r="I43" s="1">
        <f>IF(G43-O43&lt;=0,0,(G43-O43)*Input!J$18)</f>
        <v>0</v>
      </c>
      <c r="J43" s="1">
        <f>MAX(IFERROR(IF(B43&gt;Input!D$15,0,Y43-(Y43*((D43+F43+G43)/(C43+(C43*Input!D$8))))),0),0)</f>
        <v>0</v>
      </c>
      <c r="K43" s="15">
        <f>MAX(0,(J43-P43)*Input!K$15)</f>
        <v>0</v>
      </c>
      <c r="L43" s="1">
        <f t="shared" si="0"/>
        <v>0</v>
      </c>
      <c r="M43" s="1">
        <f t="shared" si="6"/>
        <v>0</v>
      </c>
      <c r="N43" s="57">
        <f>IF(C43=0,0,SUM(IF(Input!H$15=0.2,VLOOKUP(Z43,Allowances!A:D,4,FALSE)-(VLOOKUP(Z43,Allowances!A:D,4,FALSE)*Input!H$12),IF(Input!H$15=0.4,VLOOKUP(Z43,Allowances!A:D,4,FALSE)/2-((VLOOKUP(Z43,Allowances!A:D,4,FALSE)*Input!H$12)/2),IF(Input!H$15=0.45,0,IF(Input!H$15=0,VLOOKUP(Z43,Allowances!A:D,4,FALSE)-(VLOOKUP(Z43,Allowances!A:D,4,FALSE)*Input!H$12),0))))))</f>
        <v>0</v>
      </c>
      <c r="O43" s="57">
        <f>IF(C43=0,0,VLOOKUP(Z43,Allowances!A:D,3,FALSE)-VLOOKUP(Z43,Allowances!A:D,3,FALSE)*Input!H$11)</f>
        <v>0</v>
      </c>
      <c r="P43" s="57">
        <f>IF(B43&gt;Input!D$15,0,VLOOKUP(Z43,Allowances!A:D,2,FALSE)-(VLOOKUP(Z43,Allowances!A:D,2,FALSE)*Input!H$13))</f>
        <v>0</v>
      </c>
      <c r="Q43" s="1">
        <f t="shared" si="2"/>
        <v>0</v>
      </c>
      <c r="R43" s="1">
        <f>IF(Input!D$15&lt;B43,0,R42+(R42*Input!D$8)-Y43)</f>
        <v>0</v>
      </c>
      <c r="S43" s="1">
        <f>IF(B43&gt;Input!D$15,0,S42+SUM(T43:V43)-SUM(W43:X43)-Y43)</f>
        <v>0</v>
      </c>
      <c r="T43" s="1">
        <f>IF(R43=0,0,S42*Input!D$10)</f>
        <v>0</v>
      </c>
      <c r="U43" s="1">
        <f>IF(B43&gt;Input!D$15,0,S42*Input!D$11)</f>
        <v>0</v>
      </c>
      <c r="V43" s="1">
        <f>IF(B43&gt;Input!D$15,0,S42*Input!D$12)</f>
        <v>0</v>
      </c>
      <c r="W43" s="1">
        <f t="shared" si="3"/>
        <v>0</v>
      </c>
      <c r="X43" s="1">
        <f t="shared" si="5"/>
        <v>0</v>
      </c>
      <c r="Y43" s="1">
        <f>IF(B43&gt;Input!D$15,0,Input!D$7*Input!D$13)</f>
        <v>0</v>
      </c>
      <c r="Z43" s="15">
        <f t="shared" ca="1" si="4"/>
        <v>2066</v>
      </c>
    </row>
    <row r="44" spans="1:26" x14ac:dyDescent="0.3">
      <c r="A44" t="s">
        <v>14</v>
      </c>
      <c r="B44">
        <v>43</v>
      </c>
      <c r="C44" s="1">
        <f>IF(B44&gt;Input!D$15,0,M43)</f>
        <v>0</v>
      </c>
      <c r="D44" s="15">
        <f>IF(B44&gt;Input!D$15,0,(D43-(Y43-J43)+(F43-H43)+(G43-I43)-IFERROR(K43*((Y43-J43)/Y43),0))+IF(Input!H$16="Yes",MIN(Q43,L43),0))</f>
        <v>0</v>
      </c>
      <c r="E44" s="1">
        <f>IF(B44&gt;Input!D$15,0,C44*Input!D$10)</f>
        <v>0</v>
      </c>
      <c r="F44" s="1">
        <f>IF(B44&gt;Input!D$15,0,C44*Input!D$11)</f>
        <v>0</v>
      </c>
      <c r="G44" s="1">
        <f>IF(R44=0,0,C44*Input!D$12)</f>
        <v>0</v>
      </c>
      <c r="H44" s="1">
        <f>IF((F44-N44)*Input!H$15&lt;0,0,(F44-N44)*Input!H$15)</f>
        <v>0</v>
      </c>
      <c r="I44" s="1">
        <f>IF(G44-O44&lt;=0,0,(G44-O44)*Input!J$18)</f>
        <v>0</v>
      </c>
      <c r="J44" s="1">
        <f>MAX(IFERROR(IF(B44&gt;Input!D$15,0,Y44-(Y44*((D44+F44+G44)/(C44+(C44*Input!D$8))))),0),0)</f>
        <v>0</v>
      </c>
      <c r="K44" s="15">
        <f>MAX(0,(J44-P44)*Input!K$15)</f>
        <v>0</v>
      </c>
      <c r="L44" s="1">
        <f t="shared" si="0"/>
        <v>0</v>
      </c>
      <c r="M44" s="1">
        <f t="shared" si="6"/>
        <v>0</v>
      </c>
      <c r="N44" s="57">
        <f>IF(C44=0,0,SUM(IF(Input!H$15=0.2,VLOOKUP(Z44,Allowances!A:D,4,FALSE)-(VLOOKUP(Z44,Allowances!A:D,4,FALSE)*Input!H$12),IF(Input!H$15=0.4,VLOOKUP(Z44,Allowances!A:D,4,FALSE)/2-((VLOOKUP(Z44,Allowances!A:D,4,FALSE)*Input!H$12)/2),IF(Input!H$15=0.45,0,IF(Input!H$15=0,VLOOKUP(Z44,Allowances!A:D,4,FALSE)-(VLOOKUP(Z44,Allowances!A:D,4,FALSE)*Input!H$12),0))))))</f>
        <v>0</v>
      </c>
      <c r="O44" s="57">
        <f>IF(C44=0,0,VLOOKUP(Z44,Allowances!A:D,3,FALSE)-VLOOKUP(Z44,Allowances!A:D,3,FALSE)*Input!H$11)</f>
        <v>0</v>
      </c>
      <c r="P44" s="57">
        <f>IF(B44&gt;Input!D$15,0,VLOOKUP(Z44,Allowances!A:D,2,FALSE)-(VLOOKUP(Z44,Allowances!A:D,2,FALSE)*Input!H$13))</f>
        <v>0</v>
      </c>
      <c r="Q44" s="1">
        <f t="shared" si="2"/>
        <v>0</v>
      </c>
      <c r="R44" s="1">
        <f>IF(Input!D$15&lt;B44,0,R43+(R43*Input!D$8)-Y44)</f>
        <v>0</v>
      </c>
      <c r="S44" s="1">
        <f>IF(B44&gt;Input!D$15,0,S43+SUM(T44:V44)-SUM(W44:X44)-Y44)</f>
        <v>0</v>
      </c>
      <c r="T44" s="1">
        <f>IF(R44=0,0,S43*Input!D$10)</f>
        <v>0</v>
      </c>
      <c r="U44" s="1">
        <f>IF(B44&gt;Input!D$15,0,S43*Input!D$11)</f>
        <v>0</v>
      </c>
      <c r="V44" s="1">
        <f>IF(B44&gt;Input!D$15,0,S43*Input!D$12)</f>
        <v>0</v>
      </c>
      <c r="W44" s="1">
        <f t="shared" si="3"/>
        <v>0</v>
      </c>
      <c r="X44" s="1">
        <f t="shared" si="5"/>
        <v>0</v>
      </c>
      <c r="Y44" s="1">
        <f>IF(B44&gt;Input!D$15,0,Input!D$7*Input!D$13)</f>
        <v>0</v>
      </c>
      <c r="Z44" s="15">
        <f t="shared" ca="1" si="4"/>
        <v>2067</v>
      </c>
    </row>
    <row r="45" spans="1:26" x14ac:dyDescent="0.3">
      <c r="A45" t="s">
        <v>14</v>
      </c>
      <c r="B45">
        <v>44</v>
      </c>
      <c r="C45" s="1">
        <f>IF(B45&gt;Input!D$15,0,M44)</f>
        <v>0</v>
      </c>
      <c r="D45" s="15">
        <f>IF(B45&gt;Input!D$15,0,(D44-(Y44-J44)+(F44-H44)+(G44-I44)-IFERROR(K44*((Y44-J44)/Y44),0))+IF(Input!H$16="Yes",MIN(Q44,L44),0))</f>
        <v>0</v>
      </c>
      <c r="E45" s="1">
        <f>IF(B45&gt;Input!D$15,0,C45*Input!D$10)</f>
        <v>0</v>
      </c>
      <c r="F45" s="1">
        <f>IF(B45&gt;Input!D$15,0,C45*Input!D$11)</f>
        <v>0</v>
      </c>
      <c r="G45" s="1">
        <f>IF(R45=0,0,C45*Input!D$12)</f>
        <v>0</v>
      </c>
      <c r="H45" s="1">
        <f>IF((F45-N45)*Input!H$15&lt;0,0,(F45-N45)*Input!H$15)</f>
        <v>0</v>
      </c>
      <c r="I45" s="1">
        <f>IF(G45-O45&lt;=0,0,(G45-O45)*Input!J$18)</f>
        <v>0</v>
      </c>
      <c r="J45" s="1">
        <f>MAX(IFERROR(IF(B45&gt;Input!D$15,0,Y45-(Y45*((D45+F45+G45)/(C45+(C45*Input!D$8))))),0),0)</f>
        <v>0</v>
      </c>
      <c r="K45" s="15">
        <f>MAX(0,(J45-P45)*Input!K$15)</f>
        <v>0</v>
      </c>
      <c r="L45" s="1">
        <f t="shared" si="0"/>
        <v>0</v>
      </c>
      <c r="M45" s="1">
        <f t="shared" si="6"/>
        <v>0</v>
      </c>
      <c r="N45" s="57">
        <f>IF(C45=0,0,SUM(IF(Input!H$15=0.2,VLOOKUP(Z45,Allowances!A:D,4,FALSE)-(VLOOKUP(Z45,Allowances!A:D,4,FALSE)*Input!H$12),IF(Input!H$15=0.4,VLOOKUP(Z45,Allowances!A:D,4,FALSE)/2-((VLOOKUP(Z45,Allowances!A:D,4,FALSE)*Input!H$12)/2),IF(Input!H$15=0.45,0,IF(Input!H$15=0,VLOOKUP(Z45,Allowances!A:D,4,FALSE)-(VLOOKUP(Z45,Allowances!A:D,4,FALSE)*Input!H$12),0))))))</f>
        <v>0</v>
      </c>
      <c r="O45" s="57">
        <f>IF(C45=0,0,VLOOKUP(Z45,Allowances!A:D,3,FALSE)-VLOOKUP(Z45,Allowances!A:D,3,FALSE)*Input!H$11)</f>
        <v>0</v>
      </c>
      <c r="P45" s="57">
        <f>IF(B45&gt;Input!D$15,0,VLOOKUP(Z45,Allowances!A:D,2,FALSE)-(VLOOKUP(Z45,Allowances!A:D,2,FALSE)*Input!H$13))</f>
        <v>0</v>
      </c>
      <c r="Q45" s="1">
        <f t="shared" si="2"/>
        <v>0</v>
      </c>
      <c r="R45" s="1">
        <f>IF(Input!D$15&lt;B45,0,R44+(R44*Input!D$8)-Y45)</f>
        <v>0</v>
      </c>
      <c r="S45" s="1">
        <f>IF(B45&gt;Input!D$15,0,S44+SUM(T45:V45)-SUM(W45:X45)-Y45)</f>
        <v>0</v>
      </c>
      <c r="T45" s="1">
        <f>IF(R45=0,0,S44*Input!D$10)</f>
        <v>0</v>
      </c>
      <c r="U45" s="1">
        <f>IF(B45&gt;Input!D$15,0,S44*Input!D$11)</f>
        <v>0</v>
      </c>
      <c r="V45" s="1">
        <f>IF(B45&gt;Input!D$15,0,S44*Input!D$12)</f>
        <v>0</v>
      </c>
      <c r="W45" s="1">
        <f t="shared" si="3"/>
        <v>0</v>
      </c>
      <c r="X45" s="1">
        <f t="shared" si="5"/>
        <v>0</v>
      </c>
      <c r="Y45" s="1">
        <f>IF(B45&gt;Input!D$15,0,Input!D$7*Input!D$13)</f>
        <v>0</v>
      </c>
      <c r="Z45" s="15">
        <f t="shared" ca="1" si="4"/>
        <v>2068</v>
      </c>
    </row>
    <row r="46" spans="1:26" x14ac:dyDescent="0.3">
      <c r="A46" t="s">
        <v>14</v>
      </c>
      <c r="B46">
        <v>45</v>
      </c>
      <c r="C46" s="1">
        <f>IF(B46&gt;Input!D$15,0,M45)</f>
        <v>0</v>
      </c>
      <c r="D46" s="15">
        <f>IF(B46&gt;Input!D$15,0,(D45-(Y45-J45)+(F45-H45)+(G45-I45)-IFERROR(K45*((Y45-J45)/Y45),0))+IF(Input!H$16="Yes",MIN(Q45,L45),0))</f>
        <v>0</v>
      </c>
      <c r="E46" s="1">
        <f>IF(B46&gt;Input!D$15,0,C46*Input!D$10)</f>
        <v>0</v>
      </c>
      <c r="F46" s="1">
        <f>IF(B46&gt;Input!D$15,0,C46*Input!D$11)</f>
        <v>0</v>
      </c>
      <c r="G46" s="1">
        <f>IF(R46=0,0,C46*Input!D$12)</f>
        <v>0</v>
      </c>
      <c r="H46" s="1">
        <f>IF((F46-N46)*Input!H$15&lt;0,0,(F46-N46)*Input!H$15)</f>
        <v>0</v>
      </c>
      <c r="I46" s="1">
        <f>IF(G46-O46&lt;=0,0,(G46-O46)*Input!J$18)</f>
        <v>0</v>
      </c>
      <c r="J46" s="1">
        <f>MAX(IFERROR(IF(B46&gt;Input!D$15,0,Y46-(Y46*((D46+F46+G46)/(C46+(C46*Input!D$8))))),0),0)</f>
        <v>0</v>
      </c>
      <c r="K46" s="15">
        <f>MAX(0,(J46-P46)*Input!K$15)</f>
        <v>0</v>
      </c>
      <c r="L46" s="1">
        <f t="shared" si="0"/>
        <v>0</v>
      </c>
      <c r="M46" s="1">
        <f t="shared" si="6"/>
        <v>0</v>
      </c>
      <c r="N46" s="57">
        <f>IF(C46=0,0,SUM(IF(Input!H$15=0.2,VLOOKUP(Z46,Allowances!A:D,4,FALSE)-(VLOOKUP(Z46,Allowances!A:D,4,FALSE)*Input!H$12),IF(Input!H$15=0.4,VLOOKUP(Z46,Allowances!A:D,4,FALSE)/2-((VLOOKUP(Z46,Allowances!A:D,4,FALSE)*Input!H$12)/2),IF(Input!H$15=0.45,0,IF(Input!H$15=0,VLOOKUP(Z46,Allowances!A:D,4,FALSE)-(VLOOKUP(Z46,Allowances!A:D,4,FALSE)*Input!H$12),0))))))</f>
        <v>0</v>
      </c>
      <c r="O46" s="57">
        <f>IF(C46=0,0,VLOOKUP(Z46,Allowances!A:D,3,FALSE)-VLOOKUP(Z46,Allowances!A:D,3,FALSE)*Input!H$11)</f>
        <v>0</v>
      </c>
      <c r="P46" s="57">
        <f>IF(B46&gt;Input!D$15,0,VLOOKUP(Z46,Allowances!A:D,2,FALSE)-(VLOOKUP(Z46,Allowances!A:D,2,FALSE)*Input!H$13))</f>
        <v>0</v>
      </c>
      <c r="Q46" s="1">
        <f t="shared" si="2"/>
        <v>0</v>
      </c>
      <c r="R46" s="1">
        <f>IF(Input!D$15&lt;B46,0,R45+(R45*Input!D$8)-Y46)</f>
        <v>0</v>
      </c>
      <c r="S46" s="1">
        <f>IF(B46&gt;Input!D$15,0,S45+SUM(T46:V46)-SUM(W46:X46)-Y46)</f>
        <v>0</v>
      </c>
      <c r="T46" s="1">
        <f>IF(R46=0,0,S45*Input!D$10)</f>
        <v>0</v>
      </c>
      <c r="U46" s="1">
        <f>IF(B46&gt;Input!D$15,0,S45*Input!D$11)</f>
        <v>0</v>
      </c>
      <c r="V46" s="1">
        <f>IF(B46&gt;Input!D$15,0,S45*Input!D$12)</f>
        <v>0</v>
      </c>
      <c r="W46" s="1">
        <f t="shared" si="3"/>
        <v>0</v>
      </c>
      <c r="X46" s="1">
        <f t="shared" si="5"/>
        <v>0</v>
      </c>
      <c r="Y46" s="1">
        <f>IF(B46&gt;Input!D$15,0,Input!D$7*Input!D$13)</f>
        <v>0</v>
      </c>
      <c r="Z46" s="15">
        <f t="shared" ca="1" si="4"/>
        <v>2069</v>
      </c>
    </row>
    <row r="47" spans="1:26" x14ac:dyDescent="0.3">
      <c r="A47" t="s">
        <v>14</v>
      </c>
      <c r="B47">
        <v>46</v>
      </c>
      <c r="C47" s="1">
        <f>IF(B47&gt;Input!D$15,0,M46)</f>
        <v>0</v>
      </c>
      <c r="D47" s="15">
        <f>IF(B47&gt;Input!D$15,0,(D46-(Y46-J46)+(F46-H46)+(G46-I46)-IFERROR(K46*((Y46-J46)/Y46),0))+IF(Input!H$16="Yes",MIN(Q46,L46),0))</f>
        <v>0</v>
      </c>
      <c r="E47" s="1">
        <f>IF(B47&gt;Input!D$15,0,C47*Input!D$10)</f>
        <v>0</v>
      </c>
      <c r="F47" s="1">
        <f>IF(B47&gt;Input!D$15,0,C47*Input!D$11)</f>
        <v>0</v>
      </c>
      <c r="G47" s="1">
        <f>IF(R47=0,0,C47*Input!D$12)</f>
        <v>0</v>
      </c>
      <c r="H47" s="1">
        <f>IF((F47-N47)*Input!H$15&lt;0,0,(F47-N47)*Input!H$15)</f>
        <v>0</v>
      </c>
      <c r="I47" s="1">
        <f>IF(G47-O47&lt;=0,0,(G47-O47)*Input!J$18)</f>
        <v>0</v>
      </c>
      <c r="J47" s="1">
        <f>MAX(IFERROR(IF(B47&gt;Input!D$15,0,Y47-(Y47*((D47+F47+G47)/(C47+(C47*Input!D$8))))),0),0)</f>
        <v>0</v>
      </c>
      <c r="K47" s="15">
        <f>MAX(0,(J47-P47)*Input!K$15)</f>
        <v>0</v>
      </c>
      <c r="L47" s="1">
        <f t="shared" si="0"/>
        <v>0</v>
      </c>
      <c r="M47" s="1">
        <f t="shared" si="6"/>
        <v>0</v>
      </c>
      <c r="N47" s="57">
        <f>IF(C47=0,0,SUM(IF(Input!H$15=0.2,VLOOKUP(Z47,Allowances!A:D,4,FALSE)-(VLOOKUP(Z47,Allowances!A:D,4,FALSE)*Input!H$12),IF(Input!H$15=0.4,VLOOKUP(Z47,Allowances!A:D,4,FALSE)/2-((VLOOKUP(Z47,Allowances!A:D,4,FALSE)*Input!H$12)/2),IF(Input!H$15=0.45,0,IF(Input!H$15=0,VLOOKUP(Z47,Allowances!A:D,4,FALSE)-(VLOOKUP(Z47,Allowances!A:D,4,FALSE)*Input!H$12),0))))))</f>
        <v>0</v>
      </c>
      <c r="O47" s="57">
        <f>IF(C47=0,0,VLOOKUP(Z47,Allowances!A:D,3,FALSE)-VLOOKUP(Z47,Allowances!A:D,3,FALSE)*Input!H$11)</f>
        <v>0</v>
      </c>
      <c r="P47" s="57">
        <f>IF(B47&gt;Input!D$15,0,VLOOKUP(Z47,Allowances!A:D,2,FALSE)-(VLOOKUP(Z47,Allowances!A:D,2,FALSE)*Input!H$13))</f>
        <v>0</v>
      </c>
      <c r="Q47" s="1">
        <f t="shared" si="2"/>
        <v>0</v>
      </c>
      <c r="R47" s="1">
        <f>IF(Input!D$15&lt;B47,0,R46+(R46*Input!D$8)-Y47)</f>
        <v>0</v>
      </c>
      <c r="S47" s="1">
        <f>IF(B47&gt;Input!D$15,0,S46+SUM(T47:V47)-SUM(W47:X47)-Y47)</f>
        <v>0</v>
      </c>
      <c r="T47" s="1">
        <f>IF(R47=0,0,S46*Input!D$10)</f>
        <v>0</v>
      </c>
      <c r="U47" s="1">
        <f>IF(B47&gt;Input!D$15,0,S46*Input!D$11)</f>
        <v>0</v>
      </c>
      <c r="V47" s="1">
        <f>IF(B47&gt;Input!D$15,0,S46*Input!D$12)</f>
        <v>0</v>
      </c>
      <c r="W47" s="1">
        <f t="shared" si="3"/>
        <v>0</v>
      </c>
      <c r="X47" s="1">
        <f t="shared" si="5"/>
        <v>0</v>
      </c>
      <c r="Y47" s="1">
        <f>IF(B47&gt;Input!D$15,0,Input!D$7*Input!D$13)</f>
        <v>0</v>
      </c>
      <c r="Z47" s="15">
        <f t="shared" ca="1" si="4"/>
        <v>2070</v>
      </c>
    </row>
    <row r="48" spans="1:26" x14ac:dyDescent="0.3">
      <c r="A48" t="s">
        <v>14</v>
      </c>
      <c r="B48">
        <v>47</v>
      </c>
      <c r="C48" s="1">
        <f>IF(B48&gt;Input!D$15,0,M47)</f>
        <v>0</v>
      </c>
      <c r="D48" s="15">
        <f>IF(B48&gt;Input!D$15,0,(D47-(Y47-J47)+(F47-H47)+(G47-I47)-IFERROR(K47*((Y47-J47)/Y47),0))+IF(Input!H$16="Yes",MIN(Q47,L47),0))</f>
        <v>0</v>
      </c>
      <c r="E48" s="1">
        <f>IF(B48&gt;Input!D$15,0,C48*Input!D$10)</f>
        <v>0</v>
      </c>
      <c r="F48" s="1">
        <f>IF(B48&gt;Input!D$15,0,C48*Input!D$11)</f>
        <v>0</v>
      </c>
      <c r="G48" s="1">
        <f>IF(R48=0,0,C48*Input!D$12)</f>
        <v>0</v>
      </c>
      <c r="H48" s="1">
        <f>IF((F48-N48)*Input!H$15&lt;0,0,(F48-N48)*Input!H$15)</f>
        <v>0</v>
      </c>
      <c r="I48" s="1">
        <f>IF(G48-O48&lt;=0,0,(G48-O48)*Input!J$18)</f>
        <v>0</v>
      </c>
      <c r="J48" s="1">
        <f>MAX(IFERROR(IF(B48&gt;Input!D$15,0,Y48-(Y48*((D48+F48+G48)/(C48+(C48*Input!D$8))))),0),0)</f>
        <v>0</v>
      </c>
      <c r="K48" s="15">
        <f>MAX(0,(J48-P48)*Input!K$15)</f>
        <v>0</v>
      </c>
      <c r="L48" s="1">
        <f t="shared" si="0"/>
        <v>0</v>
      </c>
      <c r="M48" s="1">
        <f t="shared" si="6"/>
        <v>0</v>
      </c>
      <c r="N48" s="57">
        <f>IF(C48=0,0,SUM(IF(Input!H$15=0.2,VLOOKUP(Z48,Allowances!A:D,4,FALSE)-(VLOOKUP(Z48,Allowances!A:D,4,FALSE)*Input!H$12),IF(Input!H$15=0.4,VLOOKUP(Z48,Allowances!A:D,4,FALSE)/2-((VLOOKUP(Z48,Allowances!A:D,4,FALSE)*Input!H$12)/2),IF(Input!H$15=0.45,0,IF(Input!H$15=0,VLOOKUP(Z48,Allowances!A:D,4,FALSE)-(VLOOKUP(Z48,Allowances!A:D,4,FALSE)*Input!H$12),0))))))</f>
        <v>0</v>
      </c>
      <c r="O48" s="57">
        <f>IF(C48=0,0,VLOOKUP(Z48,Allowances!A:D,3,FALSE)-VLOOKUP(Z48,Allowances!A:D,3,FALSE)*Input!H$11)</f>
        <v>0</v>
      </c>
      <c r="P48" s="57">
        <f>IF(B48&gt;Input!D$15,0,VLOOKUP(Z48,Allowances!A:D,2,FALSE)-(VLOOKUP(Z48,Allowances!A:D,2,FALSE)*Input!H$13))</f>
        <v>0</v>
      </c>
      <c r="Q48" s="1">
        <f t="shared" si="2"/>
        <v>0</v>
      </c>
      <c r="R48" s="1">
        <f>IF(Input!D$15&lt;B48,0,R47+(R47*Input!D$8)-Y48)</f>
        <v>0</v>
      </c>
      <c r="S48" s="1">
        <f>IF(B48&gt;Input!D$15,0,S47+SUM(T48:V48)-SUM(W48:X48)-Y48)</f>
        <v>0</v>
      </c>
      <c r="T48" s="1">
        <f>IF(R48=0,0,S47*Input!D$10)</f>
        <v>0</v>
      </c>
      <c r="U48" s="1">
        <f>IF(B48&gt;Input!D$15,0,S47*Input!D$11)</f>
        <v>0</v>
      </c>
      <c r="V48" s="1">
        <f>IF(B48&gt;Input!D$15,0,S47*Input!D$12)</f>
        <v>0</v>
      </c>
      <c r="W48" s="1">
        <f t="shared" si="3"/>
        <v>0</v>
      </c>
      <c r="X48" s="1">
        <f t="shared" si="5"/>
        <v>0</v>
      </c>
      <c r="Y48" s="1">
        <f>IF(B48&gt;Input!D$15,0,Input!D$7*Input!D$13)</f>
        <v>0</v>
      </c>
      <c r="Z48" s="15">
        <f t="shared" ca="1" si="4"/>
        <v>2071</v>
      </c>
    </row>
    <row r="49" spans="1:26" x14ac:dyDescent="0.3">
      <c r="A49" t="s">
        <v>14</v>
      </c>
      <c r="B49">
        <v>48</v>
      </c>
      <c r="C49" s="1">
        <f>IF(B49&gt;Input!D$15,0,M48)</f>
        <v>0</v>
      </c>
      <c r="D49" s="15">
        <f>IF(B49&gt;Input!D$15,0,(D48-(Y48-J48)+(F48-H48)+(G48-I48)-IFERROR(K48*((Y48-J48)/Y48),0))+IF(Input!H$16="Yes",MIN(Q48,L48),0))</f>
        <v>0</v>
      </c>
      <c r="E49" s="1">
        <f>IF(B49&gt;Input!D$15,0,C49*Input!D$10)</f>
        <v>0</v>
      </c>
      <c r="F49" s="1">
        <f>IF(B49&gt;Input!D$15,0,C49*Input!D$11)</f>
        <v>0</v>
      </c>
      <c r="G49" s="1">
        <f>IF(R49=0,0,C49*Input!D$12)</f>
        <v>0</v>
      </c>
      <c r="H49" s="1">
        <f>IF((F49-N49)*Input!H$15&lt;0,0,(F49-N49)*Input!H$15)</f>
        <v>0</v>
      </c>
      <c r="I49" s="1">
        <f>IF(G49-O49&lt;=0,0,(G49-O49)*Input!J$18)</f>
        <v>0</v>
      </c>
      <c r="J49" s="1">
        <f>MAX(IFERROR(IF(B49&gt;Input!D$15,0,Y49-(Y49*((D49+F49+G49)/(C49+(C49*Input!D$8))))),0),0)</f>
        <v>0</v>
      </c>
      <c r="K49" s="15">
        <f>MAX(0,(J49-P49)*Input!K$15)</f>
        <v>0</v>
      </c>
      <c r="L49" s="1">
        <f t="shared" si="0"/>
        <v>0</v>
      </c>
      <c r="M49" s="1">
        <f t="shared" si="6"/>
        <v>0</v>
      </c>
      <c r="N49" s="57">
        <f>IF(C49=0,0,SUM(IF(Input!H$15=0.2,VLOOKUP(Z49,Allowances!A:D,4,FALSE)-(VLOOKUP(Z49,Allowances!A:D,4,FALSE)*Input!H$12),IF(Input!H$15=0.4,VLOOKUP(Z49,Allowances!A:D,4,FALSE)/2-((VLOOKUP(Z49,Allowances!A:D,4,FALSE)*Input!H$12)/2),IF(Input!H$15=0.45,0,IF(Input!H$15=0,VLOOKUP(Z49,Allowances!A:D,4,FALSE)-(VLOOKUP(Z49,Allowances!A:D,4,FALSE)*Input!H$12),0))))))</f>
        <v>0</v>
      </c>
      <c r="O49" s="57">
        <f>IF(C49=0,0,VLOOKUP(Z49,Allowances!A:D,3,FALSE)-VLOOKUP(Z49,Allowances!A:D,3,FALSE)*Input!H$11)</f>
        <v>0</v>
      </c>
      <c r="P49" s="57">
        <f>IF(B49&gt;Input!D$15,0,VLOOKUP(Z49,Allowances!A:D,2,FALSE)-(VLOOKUP(Z49,Allowances!A:D,2,FALSE)*Input!H$13))</f>
        <v>0</v>
      </c>
      <c r="Q49" s="1">
        <f t="shared" si="2"/>
        <v>0</v>
      </c>
      <c r="R49" s="1">
        <f>IF(Input!D$15&lt;B49,0,R48+(R48*Input!D$8)-Y49)</f>
        <v>0</v>
      </c>
      <c r="S49" s="1">
        <f>IF(B49&gt;Input!D$15,0,S48+SUM(T49:V49)-SUM(W49:X49)-Y49)</f>
        <v>0</v>
      </c>
      <c r="T49" s="1">
        <f>IF(R49=0,0,S48*Input!D$10)</f>
        <v>0</v>
      </c>
      <c r="U49" s="1">
        <f>IF(B49&gt;Input!D$15,0,S48*Input!D$11)</f>
        <v>0</v>
      </c>
      <c r="V49" s="1">
        <f>IF(B49&gt;Input!D$15,0,S48*Input!D$12)</f>
        <v>0</v>
      </c>
      <c r="W49" s="1">
        <f t="shared" si="3"/>
        <v>0</v>
      </c>
      <c r="X49" s="1">
        <f t="shared" si="5"/>
        <v>0</v>
      </c>
      <c r="Y49" s="1">
        <f>IF(B49&gt;Input!D$15,0,Input!D$7*Input!D$13)</f>
        <v>0</v>
      </c>
      <c r="Z49" s="15">
        <f t="shared" ca="1" si="4"/>
        <v>2072</v>
      </c>
    </row>
    <row r="50" spans="1:26" x14ac:dyDescent="0.3">
      <c r="A50" t="s">
        <v>14</v>
      </c>
      <c r="B50">
        <v>49</v>
      </c>
      <c r="C50" s="1">
        <f>IF(B50&gt;Input!D$15,0,M49)</f>
        <v>0</v>
      </c>
      <c r="D50" s="15">
        <f>IF(B50&gt;Input!D$15,0,(D49-(Y49-J49)+(F49-H49)+(G49-I49)-IFERROR(K49*((Y49-J49)/Y49),0))+IF(Input!H$16="Yes",MIN(Q49,L49),0))</f>
        <v>0</v>
      </c>
      <c r="E50" s="1">
        <f>IF(B50&gt;Input!D$15,0,C50*Input!D$10)</f>
        <v>0</v>
      </c>
      <c r="F50" s="1">
        <f>IF(B50&gt;Input!D$15,0,C50*Input!D$11)</f>
        <v>0</v>
      </c>
      <c r="G50" s="1">
        <f>IF(R50=0,0,C50*Input!D$12)</f>
        <v>0</v>
      </c>
      <c r="H50" s="1">
        <f>IF((F50-N50)*Input!H$15&lt;0,0,(F50-N50)*Input!H$15)</f>
        <v>0</v>
      </c>
      <c r="I50" s="1">
        <f>IF(G50-O50&lt;=0,0,(G50-O50)*Input!J$18)</f>
        <v>0</v>
      </c>
      <c r="J50" s="1">
        <f>MAX(IFERROR(IF(B50&gt;Input!D$15,0,Y50-(Y50*((D50+F50+G50)/(C50+(C50*Input!D$8))))),0),0)</f>
        <v>0</v>
      </c>
      <c r="K50" s="15">
        <f>MAX(0,(J50-P50)*Input!K$15)</f>
        <v>0</v>
      </c>
      <c r="L50" s="1">
        <f t="shared" si="0"/>
        <v>0</v>
      </c>
      <c r="M50" s="1">
        <f t="shared" si="6"/>
        <v>0</v>
      </c>
      <c r="N50" s="57">
        <f>IF(C50=0,0,SUM(IF(Input!H$15=0.2,VLOOKUP(Z50,Allowances!A:D,4,FALSE)-(VLOOKUP(Z50,Allowances!A:D,4,FALSE)*Input!H$12),IF(Input!H$15=0.4,VLOOKUP(Z50,Allowances!A:D,4,FALSE)/2-((VLOOKUP(Z50,Allowances!A:D,4,FALSE)*Input!H$12)/2),IF(Input!H$15=0.45,0,IF(Input!H$15=0,VLOOKUP(Z50,Allowances!A:D,4,FALSE)-(VLOOKUP(Z50,Allowances!A:D,4,FALSE)*Input!H$12),0))))))</f>
        <v>0</v>
      </c>
      <c r="O50" s="57">
        <f>IF(C50=0,0,VLOOKUP(Z50,Allowances!A:D,3,FALSE)-VLOOKUP(Z50,Allowances!A:D,3,FALSE)*Input!H$11)</f>
        <v>0</v>
      </c>
      <c r="P50" s="57">
        <f>IF(B50&gt;Input!D$15,0,VLOOKUP(Z50,Allowances!A:D,2,FALSE)-(VLOOKUP(Z50,Allowances!A:D,2,FALSE)*Input!H$13))</f>
        <v>0</v>
      </c>
      <c r="Q50" s="1">
        <f t="shared" si="2"/>
        <v>0</v>
      </c>
      <c r="R50" s="1">
        <f>IF(Input!D$15&lt;B50,0,R49+(R49*Input!D$8)-Y50)</f>
        <v>0</v>
      </c>
      <c r="S50" s="1">
        <f>IF(B50&gt;Input!D$15,0,S49+SUM(T50:V50)-SUM(W50:X50)-Y50)</f>
        <v>0</v>
      </c>
      <c r="T50" s="1">
        <f>IF(R50=0,0,S49*Input!D$10)</f>
        <v>0</v>
      </c>
      <c r="U50" s="1">
        <f>IF(B50&gt;Input!D$15,0,S49*Input!D$11)</f>
        <v>0</v>
      </c>
      <c r="V50" s="1">
        <f>IF(B50&gt;Input!D$15,0,S49*Input!D$12)</f>
        <v>0</v>
      </c>
      <c r="W50" s="1">
        <f t="shared" si="3"/>
        <v>0</v>
      </c>
      <c r="X50" s="1">
        <f t="shared" si="5"/>
        <v>0</v>
      </c>
      <c r="Y50" s="1">
        <f>IF(B50&gt;Input!D$15,0,Input!D$7*Input!D$13)</f>
        <v>0</v>
      </c>
      <c r="Z50" s="15">
        <f t="shared" ca="1" si="4"/>
        <v>2073</v>
      </c>
    </row>
    <row r="51" spans="1:26" x14ac:dyDescent="0.3">
      <c r="A51" t="s">
        <v>14</v>
      </c>
      <c r="B51">
        <v>50</v>
      </c>
      <c r="C51" s="1">
        <f>IF(B51&gt;Input!D$15,0,M50)</f>
        <v>0</v>
      </c>
      <c r="D51" s="15">
        <f>IF(B51&gt;Input!D$15,0,(D50-(Y50-J50)+(F50-H50)+(G50-I50)-IFERROR(K50*((Y50-J50)/Y50),0))+IF(Input!H$16="Yes",MIN(Q50,L50),0))</f>
        <v>0</v>
      </c>
      <c r="E51" s="1">
        <f>IF(B51&gt;Input!D$15,0,C51*Input!D$10)</f>
        <v>0</v>
      </c>
      <c r="F51" s="1">
        <f>IF(B51&gt;Input!D$15,0,C51*Input!D$11)</f>
        <v>0</v>
      </c>
      <c r="G51" s="1">
        <f>IF(R51=0,0,C51*Input!D$12)</f>
        <v>0</v>
      </c>
      <c r="H51" s="1">
        <f>IF((F51-N51)*Input!H$15&lt;0,0,(F51-N51)*Input!H$15)</f>
        <v>0</v>
      </c>
      <c r="I51" s="1">
        <f>IF(G51-O51&lt;=0,0,(G51-O51)*Input!J$18)</f>
        <v>0</v>
      </c>
      <c r="J51" s="1">
        <f>MAX(IFERROR(IF(B51&gt;Input!D$15,0,Y51-(Y51*((D51+F51+G51)/(C51+(C51*Input!D$8))))),0),0)</f>
        <v>0</v>
      </c>
      <c r="K51" s="15">
        <f>MAX(0,(J51-P51)*Input!K$15)</f>
        <v>0</v>
      </c>
      <c r="L51" s="1">
        <f t="shared" si="0"/>
        <v>0</v>
      </c>
      <c r="M51" s="1">
        <f t="shared" si="6"/>
        <v>0</v>
      </c>
      <c r="N51" s="57">
        <f>IF(C51=0,0,SUM(IF(Input!H$15=0.2,VLOOKUP(Z51,Allowances!A:D,4,FALSE)-(VLOOKUP(Z51,Allowances!A:D,4,FALSE)*Input!H$12),IF(Input!H$15=0.4,VLOOKUP(Z51,Allowances!A:D,4,FALSE)/2-((VLOOKUP(Z51,Allowances!A:D,4,FALSE)*Input!H$12)/2),IF(Input!H$15=0.45,0,IF(Input!H$15=0,VLOOKUP(Z51,Allowances!A:D,4,FALSE)-(VLOOKUP(Z51,Allowances!A:D,4,FALSE)*Input!H$12),0))))))</f>
        <v>0</v>
      </c>
      <c r="O51" s="57">
        <f>IF(C51=0,0,VLOOKUP(Z51,Allowances!A:D,3,FALSE)-VLOOKUP(Z51,Allowances!A:D,3,FALSE)*Input!H$11)</f>
        <v>0</v>
      </c>
      <c r="P51" s="57">
        <f>IF(B51&gt;Input!D$15,0,VLOOKUP(Z51,Allowances!A:D,2,FALSE)-(VLOOKUP(Z51,Allowances!A:D,2,FALSE)*Input!H$13))</f>
        <v>0</v>
      </c>
      <c r="Q51" s="1">
        <f t="shared" si="2"/>
        <v>0</v>
      </c>
      <c r="R51" s="1">
        <f>IF(Input!D$15&lt;B51,0,R50+(R50*Input!D$8)-Y51)</f>
        <v>0</v>
      </c>
      <c r="S51" s="1">
        <f>IF(B51&gt;Input!D$15,0,S50+SUM(T51:V51)-SUM(W51:X51)-Y51)</f>
        <v>0</v>
      </c>
      <c r="T51" s="1">
        <f>IF(R51=0,0,S50*Input!D$10)</f>
        <v>0</v>
      </c>
      <c r="U51" s="1">
        <f>IF(B51&gt;Input!D$15,0,S50*Input!D$11)</f>
        <v>0</v>
      </c>
      <c r="V51" s="1">
        <f>IF(B51&gt;Input!D$15,0,S50*Input!D$12)</f>
        <v>0</v>
      </c>
      <c r="W51" s="1">
        <f t="shared" si="3"/>
        <v>0</v>
      </c>
      <c r="X51" s="1">
        <f t="shared" si="5"/>
        <v>0</v>
      </c>
      <c r="Y51" s="1">
        <f>IF(B51&gt;Input!D$15,0,Input!D$7*Input!D$13)</f>
        <v>0</v>
      </c>
      <c r="Z51" s="15">
        <f t="shared" ca="1" si="4"/>
        <v>2074</v>
      </c>
    </row>
    <row r="52" spans="1:26" x14ac:dyDescent="0.3">
      <c r="E52" s="1">
        <f t="shared" ref="E52:K52" si="7">SUM(E2:E51)</f>
        <v>2000</v>
      </c>
      <c r="F52" s="1">
        <f t="shared" si="7"/>
        <v>1000</v>
      </c>
      <c r="G52" s="1">
        <f t="shared" si="7"/>
        <v>2999.9999999999991</v>
      </c>
      <c r="H52" s="1">
        <f t="shared" ca="1" si="7"/>
        <v>0</v>
      </c>
      <c r="I52" s="1">
        <f t="shared" ca="1" si="7"/>
        <v>218.74999999999991</v>
      </c>
      <c r="J52" s="1">
        <f t="shared" si="7"/>
        <v>0</v>
      </c>
      <c r="K52" s="1">
        <f t="shared" ca="1" si="7"/>
        <v>0</v>
      </c>
      <c r="L52" s="1" cm="1">
        <f t="array" aca="1" ref="L52" ca="1">IFERROR(LOOKUP(2,1/(L2:L51&lt;&gt;0),L2:L51),0)</f>
        <v>2000</v>
      </c>
      <c r="M52" s="1"/>
      <c r="N52" s="1" cm="1">
        <f t="array" aca="1" ref="N52" ca="1">IFERROR(LOOKUP(2,1/(N2:N51&lt;&gt;0),N2:N51),0)</f>
        <v>1000</v>
      </c>
      <c r="O52" s="1" cm="1">
        <f t="array" aca="1" ref="O52" ca="1">IFERROR(LOOKUP(2,1/(O2:O51&lt;&gt;0),O2:O51),0)</f>
        <v>500</v>
      </c>
      <c r="P52" s="1" cm="1">
        <f t="array" aca="1" ref="P52" ca="1">IFERROR(LOOKUP(2,1/(P2:P51&lt;&gt;0),P2:P51),0)</f>
        <v>3000</v>
      </c>
      <c r="Q52" s="1" cm="1">
        <f t="array" aca="1" ref="Q52" ca="1">IFERROR(LOOKUP(2,1/(Q2:Q51&lt;&gt;0),Q2:Q51),0)</f>
        <v>3000</v>
      </c>
      <c r="R52" s="1">
        <f>ROUND(MAX(R2:R51),0)</f>
        <v>106000</v>
      </c>
      <c r="S52" s="1">
        <f>MAX(S2:S51)</f>
        <v>105400</v>
      </c>
      <c r="T52" s="1"/>
      <c r="U52" s="1"/>
      <c r="V52" s="1"/>
      <c r="W52" s="1">
        <f>SUM(W2:W51)</f>
        <v>200</v>
      </c>
      <c r="X52" s="1">
        <f>SUM(X2:X51)</f>
        <v>400</v>
      </c>
      <c r="Y52" s="1">
        <f>(SUM(Y2:Y51))</f>
        <v>0</v>
      </c>
    </row>
  </sheetData>
  <sheetProtection selectLockedCells="1"/>
  <pageMargins left="0.7" right="0.7" top="0.75" bottom="0.75" header="0.3" footer="0.3"/>
  <pageSetup orientation="portrait" r:id="rId1"/>
  <headerFooter>
    <oddFooter>&amp;C&amp;"Calibri"&amp;11&amp;K000000&amp;"Arial,Regular"&amp;10&amp;K000000</oddFooter>
    <evenFooter>&amp;C&amp;"Arial,Regular"&amp;10&amp;K000000INTERNAL USE ONLY</evenFooter>
    <firstFooter>&amp;C&amp;"Arial,Regular"&amp;10&amp;K000000INTERNAL USE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BD3CD-8A4A-48EA-82C0-892B1B7A3F19}">
  <dimension ref="A1:I100"/>
  <sheetViews>
    <sheetView workbookViewId="0">
      <selection activeCell="A4" sqref="A4"/>
    </sheetView>
  </sheetViews>
  <sheetFormatPr defaultRowHeight="14" x14ac:dyDescent="0.3"/>
  <cols>
    <col min="5" max="5" width="17.54296875" bestFit="1" customWidth="1"/>
    <col min="6" max="6" width="12.54296875" bestFit="1" customWidth="1"/>
    <col min="9" max="9" width="10.453125" bestFit="1" customWidth="1"/>
  </cols>
  <sheetData>
    <row r="1" spans="1:9" x14ac:dyDescent="0.3">
      <c r="B1" t="s">
        <v>24</v>
      </c>
      <c r="C1" t="s">
        <v>51</v>
      </c>
      <c r="D1" t="s">
        <v>52</v>
      </c>
      <c r="E1" t="s">
        <v>55</v>
      </c>
      <c r="F1" t="s">
        <v>56</v>
      </c>
      <c r="I1" t="s">
        <v>68</v>
      </c>
    </row>
    <row r="2" spans="1:9" x14ac:dyDescent="0.3">
      <c r="A2">
        <v>2022</v>
      </c>
      <c r="B2">
        <v>12300</v>
      </c>
      <c r="C2">
        <v>2000</v>
      </c>
      <c r="D2">
        <v>1000</v>
      </c>
      <c r="E2">
        <v>12570</v>
      </c>
      <c r="F2">
        <v>5000</v>
      </c>
      <c r="I2" s="2">
        <v>0</v>
      </c>
    </row>
    <row r="3" spans="1:9" x14ac:dyDescent="0.3">
      <c r="A3">
        <v>2023</v>
      </c>
      <c r="B3">
        <v>12300</v>
      </c>
      <c r="C3">
        <v>2000</v>
      </c>
      <c r="D3">
        <v>1000</v>
      </c>
      <c r="E3" t="s">
        <v>70</v>
      </c>
      <c r="F3" t="s">
        <v>71</v>
      </c>
      <c r="I3" s="2">
        <v>0.1</v>
      </c>
    </row>
    <row r="4" spans="1:9" x14ac:dyDescent="0.3">
      <c r="A4">
        <v>2024</v>
      </c>
      <c r="B4">
        <v>6000</v>
      </c>
      <c r="C4">
        <v>1000</v>
      </c>
      <c r="D4">
        <v>1000</v>
      </c>
      <c r="E4">
        <f>MIN(IF(F4&gt;100000,(F4-100000)/2,0),E2)</f>
        <v>0</v>
      </c>
      <c r="F4" s="62">
        <f>Input!F25+Sheet2!Y52-Input!D7</f>
        <v>6000</v>
      </c>
      <c r="I4" s="2">
        <v>0.2</v>
      </c>
    </row>
    <row r="5" spans="1:9" x14ac:dyDescent="0.3">
      <c r="A5">
        <v>2025</v>
      </c>
      <c r="B5">
        <v>3000</v>
      </c>
      <c r="C5">
        <v>500</v>
      </c>
      <c r="D5">
        <v>1000</v>
      </c>
      <c r="I5" s="2">
        <v>0.3</v>
      </c>
    </row>
    <row r="6" spans="1:9" x14ac:dyDescent="0.3">
      <c r="A6">
        <v>2026</v>
      </c>
      <c r="B6">
        <v>3000</v>
      </c>
      <c r="C6">
        <v>500</v>
      </c>
      <c r="D6">
        <v>1000</v>
      </c>
      <c r="E6" t="s">
        <v>72</v>
      </c>
      <c r="I6" s="2">
        <v>0.4</v>
      </c>
    </row>
    <row r="7" spans="1:9" x14ac:dyDescent="0.3">
      <c r="A7">
        <v>2027</v>
      </c>
      <c r="B7">
        <v>3000</v>
      </c>
      <c r="C7">
        <v>500</v>
      </c>
      <c r="D7">
        <v>1000</v>
      </c>
      <c r="E7">
        <f>MAX(0,E2-E4)</f>
        <v>12570</v>
      </c>
      <c r="I7" s="2">
        <v>0.5</v>
      </c>
    </row>
    <row r="8" spans="1:9" x14ac:dyDescent="0.3">
      <c r="A8">
        <v>2028</v>
      </c>
      <c r="B8">
        <v>3000</v>
      </c>
      <c r="C8">
        <v>500</v>
      </c>
      <c r="D8">
        <v>1000</v>
      </c>
      <c r="I8" s="2">
        <v>0.6</v>
      </c>
    </row>
    <row r="9" spans="1:9" x14ac:dyDescent="0.3">
      <c r="A9">
        <v>2029</v>
      </c>
      <c r="B9">
        <f>ROUNDUP(B8*1.02,0)</f>
        <v>3060</v>
      </c>
      <c r="C9">
        <f t="shared" ref="C9:D24" si="0">ROUNDUP(C8*1.02,0)</f>
        <v>510</v>
      </c>
      <c r="D9">
        <f t="shared" si="0"/>
        <v>1020</v>
      </c>
      <c r="E9" t="s">
        <v>75</v>
      </c>
      <c r="I9" s="2">
        <v>0.7</v>
      </c>
    </row>
    <row r="10" spans="1:9" x14ac:dyDescent="0.3">
      <c r="A10">
        <v>2030</v>
      </c>
      <c r="B10">
        <f t="shared" ref="B10:D25" si="1">ROUNDUP(B9*1.02,0)</f>
        <v>3122</v>
      </c>
      <c r="C10">
        <f t="shared" si="0"/>
        <v>521</v>
      </c>
      <c r="D10">
        <f t="shared" si="0"/>
        <v>1041</v>
      </c>
      <c r="E10" t="s">
        <v>25</v>
      </c>
      <c r="I10" s="2">
        <v>0.8</v>
      </c>
    </row>
    <row r="11" spans="1:9" x14ac:dyDescent="0.3">
      <c r="A11">
        <v>2031</v>
      </c>
      <c r="B11">
        <f t="shared" si="1"/>
        <v>3185</v>
      </c>
      <c r="C11">
        <f t="shared" si="0"/>
        <v>532</v>
      </c>
      <c r="D11">
        <f t="shared" si="0"/>
        <v>1062</v>
      </c>
      <c r="E11" t="s">
        <v>26</v>
      </c>
      <c r="I11" s="2">
        <v>0.9</v>
      </c>
    </row>
    <row r="12" spans="1:9" x14ac:dyDescent="0.3">
      <c r="A12">
        <v>2032</v>
      </c>
      <c r="B12">
        <f t="shared" si="1"/>
        <v>3249</v>
      </c>
      <c r="C12">
        <f t="shared" si="0"/>
        <v>543</v>
      </c>
      <c r="D12">
        <f t="shared" si="0"/>
        <v>1084</v>
      </c>
      <c r="I12" s="2">
        <v>1</v>
      </c>
    </row>
    <row r="13" spans="1:9" x14ac:dyDescent="0.3">
      <c r="A13">
        <v>2033</v>
      </c>
      <c r="B13">
        <f t="shared" si="1"/>
        <v>3314</v>
      </c>
      <c r="C13">
        <f t="shared" si="0"/>
        <v>554</v>
      </c>
      <c r="D13">
        <f t="shared" si="0"/>
        <v>1106</v>
      </c>
    </row>
    <row r="14" spans="1:9" x14ac:dyDescent="0.3">
      <c r="A14">
        <v>2034</v>
      </c>
      <c r="B14">
        <f t="shared" si="1"/>
        <v>3381</v>
      </c>
      <c r="C14">
        <f t="shared" si="0"/>
        <v>566</v>
      </c>
      <c r="D14">
        <f t="shared" si="0"/>
        <v>1129</v>
      </c>
    </row>
    <row r="15" spans="1:9" x14ac:dyDescent="0.3">
      <c r="A15">
        <v>2035</v>
      </c>
      <c r="B15">
        <f t="shared" si="1"/>
        <v>3449</v>
      </c>
      <c r="C15">
        <f t="shared" si="0"/>
        <v>578</v>
      </c>
      <c r="D15">
        <f t="shared" si="0"/>
        <v>1152</v>
      </c>
    </row>
    <row r="16" spans="1:9" x14ac:dyDescent="0.3">
      <c r="A16">
        <v>2036</v>
      </c>
      <c r="B16">
        <f t="shared" si="1"/>
        <v>3518</v>
      </c>
      <c r="C16">
        <f t="shared" si="0"/>
        <v>590</v>
      </c>
      <c r="D16">
        <f t="shared" si="0"/>
        <v>1176</v>
      </c>
    </row>
    <row r="17" spans="1:4" x14ac:dyDescent="0.3">
      <c r="A17">
        <v>2037</v>
      </c>
      <c r="B17">
        <f t="shared" si="1"/>
        <v>3589</v>
      </c>
      <c r="C17">
        <f t="shared" si="0"/>
        <v>602</v>
      </c>
      <c r="D17">
        <f t="shared" si="0"/>
        <v>1200</v>
      </c>
    </row>
    <row r="18" spans="1:4" x14ac:dyDescent="0.3">
      <c r="A18">
        <v>2038</v>
      </c>
      <c r="B18">
        <f t="shared" si="1"/>
        <v>3661</v>
      </c>
      <c r="C18">
        <f t="shared" si="0"/>
        <v>615</v>
      </c>
      <c r="D18">
        <f t="shared" si="0"/>
        <v>1224</v>
      </c>
    </row>
    <row r="19" spans="1:4" x14ac:dyDescent="0.3">
      <c r="A19">
        <v>2039</v>
      </c>
      <c r="B19">
        <f t="shared" si="1"/>
        <v>3735</v>
      </c>
      <c r="C19">
        <f t="shared" si="0"/>
        <v>628</v>
      </c>
      <c r="D19">
        <f t="shared" si="0"/>
        <v>1249</v>
      </c>
    </row>
    <row r="20" spans="1:4" x14ac:dyDescent="0.3">
      <c r="A20">
        <v>2040</v>
      </c>
      <c r="B20">
        <f t="shared" si="1"/>
        <v>3810</v>
      </c>
      <c r="C20">
        <f t="shared" si="0"/>
        <v>641</v>
      </c>
      <c r="D20">
        <f t="shared" si="0"/>
        <v>1274</v>
      </c>
    </row>
    <row r="21" spans="1:4" x14ac:dyDescent="0.3">
      <c r="A21">
        <v>2041</v>
      </c>
      <c r="B21">
        <f t="shared" si="1"/>
        <v>3887</v>
      </c>
      <c r="C21">
        <f t="shared" si="0"/>
        <v>654</v>
      </c>
      <c r="D21">
        <f t="shared" si="0"/>
        <v>1300</v>
      </c>
    </row>
    <row r="22" spans="1:4" x14ac:dyDescent="0.3">
      <c r="A22">
        <v>2042</v>
      </c>
      <c r="B22">
        <f t="shared" si="1"/>
        <v>3965</v>
      </c>
      <c r="C22">
        <f t="shared" si="0"/>
        <v>668</v>
      </c>
      <c r="D22">
        <f t="shared" si="0"/>
        <v>1326</v>
      </c>
    </row>
    <row r="23" spans="1:4" x14ac:dyDescent="0.3">
      <c r="A23">
        <v>2043</v>
      </c>
      <c r="B23">
        <f t="shared" si="1"/>
        <v>4045</v>
      </c>
      <c r="C23">
        <f t="shared" si="0"/>
        <v>682</v>
      </c>
      <c r="D23">
        <f t="shared" si="0"/>
        <v>1353</v>
      </c>
    </row>
    <row r="24" spans="1:4" x14ac:dyDescent="0.3">
      <c r="A24">
        <v>2044</v>
      </c>
      <c r="B24">
        <f t="shared" si="1"/>
        <v>4126</v>
      </c>
      <c r="C24">
        <f t="shared" si="0"/>
        <v>696</v>
      </c>
      <c r="D24">
        <f t="shared" si="0"/>
        <v>1381</v>
      </c>
    </row>
    <row r="25" spans="1:4" x14ac:dyDescent="0.3">
      <c r="A25">
        <v>2045</v>
      </c>
      <c r="B25">
        <f t="shared" si="1"/>
        <v>4209</v>
      </c>
      <c r="C25">
        <f t="shared" si="1"/>
        <v>710</v>
      </c>
      <c r="D25">
        <f t="shared" si="1"/>
        <v>1409</v>
      </c>
    </row>
    <row r="26" spans="1:4" x14ac:dyDescent="0.3">
      <c r="A26">
        <v>2046</v>
      </c>
      <c r="B26">
        <f t="shared" ref="B26:D41" si="2">ROUNDUP(B25*1.02,0)</f>
        <v>4294</v>
      </c>
      <c r="C26">
        <f t="shared" si="2"/>
        <v>725</v>
      </c>
      <c r="D26">
        <f t="shared" si="2"/>
        <v>1438</v>
      </c>
    </row>
    <row r="27" spans="1:4" x14ac:dyDescent="0.3">
      <c r="A27">
        <v>2047</v>
      </c>
      <c r="B27">
        <f t="shared" si="2"/>
        <v>4380</v>
      </c>
      <c r="C27">
        <f t="shared" si="2"/>
        <v>740</v>
      </c>
      <c r="D27">
        <f t="shared" si="2"/>
        <v>1467</v>
      </c>
    </row>
    <row r="28" spans="1:4" x14ac:dyDescent="0.3">
      <c r="A28">
        <v>2048</v>
      </c>
      <c r="B28">
        <f t="shared" si="2"/>
        <v>4468</v>
      </c>
      <c r="C28">
        <f t="shared" si="2"/>
        <v>755</v>
      </c>
      <c r="D28">
        <f t="shared" si="2"/>
        <v>1497</v>
      </c>
    </row>
    <row r="29" spans="1:4" x14ac:dyDescent="0.3">
      <c r="A29">
        <v>2049</v>
      </c>
      <c r="B29">
        <f t="shared" si="2"/>
        <v>4558</v>
      </c>
      <c r="C29">
        <f t="shared" si="2"/>
        <v>771</v>
      </c>
      <c r="D29">
        <f t="shared" si="2"/>
        <v>1527</v>
      </c>
    </row>
    <row r="30" spans="1:4" x14ac:dyDescent="0.3">
      <c r="A30">
        <v>2050</v>
      </c>
      <c r="B30">
        <f t="shared" si="2"/>
        <v>4650</v>
      </c>
      <c r="C30">
        <f t="shared" si="2"/>
        <v>787</v>
      </c>
      <c r="D30">
        <f t="shared" si="2"/>
        <v>1558</v>
      </c>
    </row>
    <row r="31" spans="1:4" x14ac:dyDescent="0.3">
      <c r="A31">
        <v>2051</v>
      </c>
      <c r="B31">
        <f t="shared" si="2"/>
        <v>4743</v>
      </c>
      <c r="C31">
        <f t="shared" si="2"/>
        <v>803</v>
      </c>
      <c r="D31">
        <f t="shared" si="2"/>
        <v>1590</v>
      </c>
    </row>
    <row r="32" spans="1:4" x14ac:dyDescent="0.3">
      <c r="A32">
        <v>2052</v>
      </c>
      <c r="B32">
        <f t="shared" si="2"/>
        <v>4838</v>
      </c>
      <c r="C32">
        <f t="shared" si="2"/>
        <v>820</v>
      </c>
      <c r="D32">
        <f t="shared" si="2"/>
        <v>1622</v>
      </c>
    </row>
    <row r="33" spans="1:4" x14ac:dyDescent="0.3">
      <c r="A33">
        <v>2053</v>
      </c>
      <c r="B33">
        <f t="shared" si="2"/>
        <v>4935</v>
      </c>
      <c r="C33">
        <f t="shared" si="2"/>
        <v>837</v>
      </c>
      <c r="D33">
        <f t="shared" si="2"/>
        <v>1655</v>
      </c>
    </row>
    <row r="34" spans="1:4" x14ac:dyDescent="0.3">
      <c r="A34">
        <v>2054</v>
      </c>
      <c r="B34">
        <f t="shared" si="2"/>
        <v>5034</v>
      </c>
      <c r="C34">
        <f t="shared" si="2"/>
        <v>854</v>
      </c>
      <c r="D34">
        <f t="shared" si="2"/>
        <v>1689</v>
      </c>
    </row>
    <row r="35" spans="1:4" x14ac:dyDescent="0.3">
      <c r="A35">
        <v>2055</v>
      </c>
      <c r="B35">
        <f t="shared" si="2"/>
        <v>5135</v>
      </c>
      <c r="C35">
        <f t="shared" si="2"/>
        <v>872</v>
      </c>
      <c r="D35">
        <f t="shared" si="2"/>
        <v>1723</v>
      </c>
    </row>
    <row r="36" spans="1:4" x14ac:dyDescent="0.3">
      <c r="A36">
        <v>2056</v>
      </c>
      <c r="B36">
        <f t="shared" si="2"/>
        <v>5238</v>
      </c>
      <c r="C36">
        <f t="shared" si="2"/>
        <v>890</v>
      </c>
      <c r="D36">
        <f t="shared" si="2"/>
        <v>1758</v>
      </c>
    </row>
    <row r="37" spans="1:4" x14ac:dyDescent="0.3">
      <c r="A37">
        <v>2057</v>
      </c>
      <c r="B37">
        <f t="shared" si="2"/>
        <v>5343</v>
      </c>
      <c r="C37">
        <f t="shared" si="2"/>
        <v>908</v>
      </c>
      <c r="D37">
        <f t="shared" si="2"/>
        <v>1794</v>
      </c>
    </row>
    <row r="38" spans="1:4" x14ac:dyDescent="0.3">
      <c r="A38">
        <v>2058</v>
      </c>
      <c r="B38">
        <f t="shared" si="2"/>
        <v>5450</v>
      </c>
      <c r="C38">
        <f t="shared" si="2"/>
        <v>927</v>
      </c>
      <c r="D38">
        <f t="shared" si="2"/>
        <v>1830</v>
      </c>
    </row>
    <row r="39" spans="1:4" x14ac:dyDescent="0.3">
      <c r="A39">
        <v>2059</v>
      </c>
      <c r="B39">
        <f t="shared" si="2"/>
        <v>5559</v>
      </c>
      <c r="C39">
        <f t="shared" si="2"/>
        <v>946</v>
      </c>
      <c r="D39">
        <f t="shared" si="2"/>
        <v>1867</v>
      </c>
    </row>
    <row r="40" spans="1:4" x14ac:dyDescent="0.3">
      <c r="A40">
        <v>2060</v>
      </c>
      <c r="B40">
        <f t="shared" si="2"/>
        <v>5671</v>
      </c>
      <c r="C40">
        <f t="shared" si="2"/>
        <v>965</v>
      </c>
      <c r="D40">
        <f t="shared" si="2"/>
        <v>1905</v>
      </c>
    </row>
    <row r="41" spans="1:4" x14ac:dyDescent="0.3">
      <c r="A41">
        <v>2061</v>
      </c>
      <c r="B41">
        <f t="shared" si="2"/>
        <v>5785</v>
      </c>
      <c r="C41">
        <f t="shared" si="2"/>
        <v>985</v>
      </c>
      <c r="D41">
        <f t="shared" si="2"/>
        <v>1944</v>
      </c>
    </row>
    <row r="42" spans="1:4" x14ac:dyDescent="0.3">
      <c r="A42">
        <v>2062</v>
      </c>
      <c r="B42">
        <f t="shared" ref="B42:D57" si="3">ROUNDUP(B41*1.02,0)</f>
        <v>5901</v>
      </c>
      <c r="C42">
        <f t="shared" si="3"/>
        <v>1005</v>
      </c>
      <c r="D42">
        <f t="shared" si="3"/>
        <v>1983</v>
      </c>
    </row>
    <row r="43" spans="1:4" x14ac:dyDescent="0.3">
      <c r="A43">
        <v>2063</v>
      </c>
      <c r="B43">
        <f t="shared" si="3"/>
        <v>6020</v>
      </c>
      <c r="C43">
        <f t="shared" si="3"/>
        <v>1026</v>
      </c>
      <c r="D43">
        <f t="shared" si="3"/>
        <v>2023</v>
      </c>
    </row>
    <row r="44" spans="1:4" x14ac:dyDescent="0.3">
      <c r="A44">
        <v>2064</v>
      </c>
      <c r="B44">
        <f t="shared" si="3"/>
        <v>6141</v>
      </c>
      <c r="C44">
        <f t="shared" si="3"/>
        <v>1047</v>
      </c>
      <c r="D44">
        <f t="shared" si="3"/>
        <v>2064</v>
      </c>
    </row>
    <row r="45" spans="1:4" x14ac:dyDescent="0.3">
      <c r="A45">
        <v>2065</v>
      </c>
      <c r="B45">
        <f t="shared" si="3"/>
        <v>6264</v>
      </c>
      <c r="C45">
        <f t="shared" si="3"/>
        <v>1068</v>
      </c>
      <c r="D45">
        <f t="shared" si="3"/>
        <v>2106</v>
      </c>
    </row>
    <row r="46" spans="1:4" x14ac:dyDescent="0.3">
      <c r="A46">
        <v>2066</v>
      </c>
      <c r="B46">
        <f t="shared" si="3"/>
        <v>6390</v>
      </c>
      <c r="C46">
        <f t="shared" si="3"/>
        <v>1090</v>
      </c>
      <c r="D46">
        <f t="shared" si="3"/>
        <v>2149</v>
      </c>
    </row>
    <row r="47" spans="1:4" x14ac:dyDescent="0.3">
      <c r="A47">
        <v>2067</v>
      </c>
      <c r="B47">
        <f t="shared" si="3"/>
        <v>6518</v>
      </c>
      <c r="C47">
        <f t="shared" si="3"/>
        <v>1112</v>
      </c>
      <c r="D47">
        <f t="shared" si="3"/>
        <v>2192</v>
      </c>
    </row>
    <row r="48" spans="1:4" x14ac:dyDescent="0.3">
      <c r="A48">
        <v>2068</v>
      </c>
      <c r="B48">
        <f t="shared" si="3"/>
        <v>6649</v>
      </c>
      <c r="C48">
        <f t="shared" si="3"/>
        <v>1135</v>
      </c>
      <c r="D48">
        <f t="shared" si="3"/>
        <v>2236</v>
      </c>
    </row>
    <row r="49" spans="1:4" x14ac:dyDescent="0.3">
      <c r="A49">
        <v>2069</v>
      </c>
      <c r="B49">
        <f t="shared" si="3"/>
        <v>6782</v>
      </c>
      <c r="C49">
        <f t="shared" si="3"/>
        <v>1158</v>
      </c>
      <c r="D49">
        <f t="shared" si="3"/>
        <v>2281</v>
      </c>
    </row>
    <row r="50" spans="1:4" x14ac:dyDescent="0.3">
      <c r="A50">
        <v>2070</v>
      </c>
      <c r="B50">
        <f t="shared" si="3"/>
        <v>6918</v>
      </c>
      <c r="C50">
        <f t="shared" si="3"/>
        <v>1182</v>
      </c>
      <c r="D50">
        <f t="shared" si="3"/>
        <v>2327</v>
      </c>
    </row>
    <row r="51" spans="1:4" x14ac:dyDescent="0.3">
      <c r="A51">
        <v>2071</v>
      </c>
      <c r="B51">
        <f t="shared" si="3"/>
        <v>7057</v>
      </c>
      <c r="C51">
        <f t="shared" si="3"/>
        <v>1206</v>
      </c>
      <c r="D51">
        <f t="shared" si="3"/>
        <v>2374</v>
      </c>
    </row>
    <row r="52" spans="1:4" x14ac:dyDescent="0.3">
      <c r="A52">
        <v>2072</v>
      </c>
      <c r="B52">
        <f t="shared" si="3"/>
        <v>7199</v>
      </c>
      <c r="C52">
        <f t="shared" si="3"/>
        <v>1231</v>
      </c>
      <c r="D52">
        <f t="shared" si="3"/>
        <v>2422</v>
      </c>
    </row>
    <row r="53" spans="1:4" x14ac:dyDescent="0.3">
      <c r="A53">
        <v>2073</v>
      </c>
      <c r="B53">
        <f t="shared" si="3"/>
        <v>7343</v>
      </c>
      <c r="C53">
        <f t="shared" si="3"/>
        <v>1256</v>
      </c>
      <c r="D53">
        <f t="shared" si="3"/>
        <v>2471</v>
      </c>
    </row>
    <row r="54" spans="1:4" x14ac:dyDescent="0.3">
      <c r="A54">
        <v>2074</v>
      </c>
      <c r="B54">
        <f t="shared" si="3"/>
        <v>7490</v>
      </c>
      <c r="C54">
        <f t="shared" si="3"/>
        <v>1282</v>
      </c>
      <c r="D54">
        <f t="shared" si="3"/>
        <v>2521</v>
      </c>
    </row>
    <row r="55" spans="1:4" x14ac:dyDescent="0.3">
      <c r="A55">
        <v>2075</v>
      </c>
      <c r="B55">
        <f t="shared" si="3"/>
        <v>7640</v>
      </c>
      <c r="C55">
        <f t="shared" si="3"/>
        <v>1308</v>
      </c>
      <c r="D55">
        <f t="shared" si="3"/>
        <v>2572</v>
      </c>
    </row>
    <row r="56" spans="1:4" x14ac:dyDescent="0.3">
      <c r="A56">
        <v>2076</v>
      </c>
      <c r="B56">
        <f t="shared" si="3"/>
        <v>7793</v>
      </c>
      <c r="C56">
        <f t="shared" si="3"/>
        <v>1335</v>
      </c>
      <c r="D56">
        <f t="shared" si="3"/>
        <v>2624</v>
      </c>
    </row>
    <row r="57" spans="1:4" x14ac:dyDescent="0.3">
      <c r="A57">
        <v>2077</v>
      </c>
      <c r="B57">
        <f t="shared" si="3"/>
        <v>7949</v>
      </c>
      <c r="C57">
        <f t="shared" si="3"/>
        <v>1362</v>
      </c>
      <c r="D57">
        <f t="shared" si="3"/>
        <v>2677</v>
      </c>
    </row>
    <row r="58" spans="1:4" x14ac:dyDescent="0.3">
      <c r="A58">
        <v>2078</v>
      </c>
      <c r="B58">
        <f t="shared" ref="B58:D73" si="4">ROUNDUP(B57*1.02,0)</f>
        <v>8108</v>
      </c>
      <c r="C58">
        <f t="shared" si="4"/>
        <v>1390</v>
      </c>
      <c r="D58">
        <f t="shared" si="4"/>
        <v>2731</v>
      </c>
    </row>
    <row r="59" spans="1:4" x14ac:dyDescent="0.3">
      <c r="A59">
        <v>2079</v>
      </c>
      <c r="B59">
        <f t="shared" si="4"/>
        <v>8271</v>
      </c>
      <c r="C59">
        <f t="shared" si="4"/>
        <v>1418</v>
      </c>
      <c r="D59">
        <f t="shared" si="4"/>
        <v>2786</v>
      </c>
    </row>
    <row r="60" spans="1:4" x14ac:dyDescent="0.3">
      <c r="A60">
        <v>2080</v>
      </c>
      <c r="B60">
        <f t="shared" si="4"/>
        <v>8437</v>
      </c>
      <c r="C60">
        <f t="shared" si="4"/>
        <v>1447</v>
      </c>
      <c r="D60">
        <f t="shared" si="4"/>
        <v>2842</v>
      </c>
    </row>
    <row r="61" spans="1:4" x14ac:dyDescent="0.3">
      <c r="A61">
        <v>2081</v>
      </c>
      <c r="B61">
        <f t="shared" si="4"/>
        <v>8606</v>
      </c>
      <c r="C61">
        <f t="shared" si="4"/>
        <v>1476</v>
      </c>
      <c r="D61">
        <f t="shared" si="4"/>
        <v>2899</v>
      </c>
    </row>
    <row r="62" spans="1:4" x14ac:dyDescent="0.3">
      <c r="A62">
        <v>2082</v>
      </c>
      <c r="B62">
        <f t="shared" si="4"/>
        <v>8779</v>
      </c>
      <c r="C62">
        <f t="shared" si="4"/>
        <v>1506</v>
      </c>
      <c r="D62">
        <f t="shared" si="4"/>
        <v>2957</v>
      </c>
    </row>
    <row r="63" spans="1:4" x14ac:dyDescent="0.3">
      <c r="A63">
        <v>2083</v>
      </c>
      <c r="B63">
        <f t="shared" si="4"/>
        <v>8955</v>
      </c>
      <c r="C63">
        <f t="shared" si="4"/>
        <v>1537</v>
      </c>
      <c r="D63">
        <f t="shared" si="4"/>
        <v>3017</v>
      </c>
    </row>
    <row r="64" spans="1:4" x14ac:dyDescent="0.3">
      <c r="A64">
        <v>2084</v>
      </c>
      <c r="B64">
        <f t="shared" si="4"/>
        <v>9135</v>
      </c>
      <c r="C64">
        <f t="shared" si="4"/>
        <v>1568</v>
      </c>
      <c r="D64">
        <f t="shared" si="4"/>
        <v>3078</v>
      </c>
    </row>
    <row r="65" spans="1:4" x14ac:dyDescent="0.3">
      <c r="A65">
        <v>2085</v>
      </c>
      <c r="B65">
        <f t="shared" si="4"/>
        <v>9318</v>
      </c>
      <c r="C65">
        <f t="shared" si="4"/>
        <v>1600</v>
      </c>
      <c r="D65">
        <f t="shared" si="4"/>
        <v>3140</v>
      </c>
    </row>
    <row r="66" spans="1:4" x14ac:dyDescent="0.3">
      <c r="A66">
        <v>2086</v>
      </c>
      <c r="B66">
        <f t="shared" si="4"/>
        <v>9505</v>
      </c>
      <c r="C66">
        <f t="shared" si="4"/>
        <v>1632</v>
      </c>
      <c r="D66">
        <f t="shared" si="4"/>
        <v>3203</v>
      </c>
    </row>
    <row r="67" spans="1:4" x14ac:dyDescent="0.3">
      <c r="A67">
        <v>2087</v>
      </c>
      <c r="B67">
        <f t="shared" si="4"/>
        <v>9696</v>
      </c>
      <c r="C67">
        <f t="shared" si="4"/>
        <v>1665</v>
      </c>
      <c r="D67">
        <f t="shared" si="4"/>
        <v>3268</v>
      </c>
    </row>
    <row r="68" spans="1:4" x14ac:dyDescent="0.3">
      <c r="A68">
        <v>2088</v>
      </c>
      <c r="B68">
        <f t="shared" si="4"/>
        <v>9890</v>
      </c>
      <c r="C68">
        <f t="shared" si="4"/>
        <v>1699</v>
      </c>
      <c r="D68">
        <f t="shared" si="4"/>
        <v>3334</v>
      </c>
    </row>
    <row r="69" spans="1:4" x14ac:dyDescent="0.3">
      <c r="A69">
        <v>2089</v>
      </c>
      <c r="B69">
        <f t="shared" si="4"/>
        <v>10088</v>
      </c>
      <c r="C69">
        <f t="shared" si="4"/>
        <v>1733</v>
      </c>
      <c r="D69">
        <f t="shared" si="4"/>
        <v>3401</v>
      </c>
    </row>
    <row r="70" spans="1:4" x14ac:dyDescent="0.3">
      <c r="A70">
        <v>2090</v>
      </c>
      <c r="B70">
        <f t="shared" si="4"/>
        <v>10290</v>
      </c>
      <c r="C70">
        <f t="shared" si="4"/>
        <v>1768</v>
      </c>
      <c r="D70">
        <f t="shared" si="4"/>
        <v>3470</v>
      </c>
    </row>
    <row r="71" spans="1:4" x14ac:dyDescent="0.3">
      <c r="A71">
        <v>2091</v>
      </c>
      <c r="B71">
        <f t="shared" si="4"/>
        <v>10496</v>
      </c>
      <c r="C71">
        <f t="shared" si="4"/>
        <v>1804</v>
      </c>
      <c r="D71">
        <f t="shared" si="4"/>
        <v>3540</v>
      </c>
    </row>
    <row r="72" spans="1:4" x14ac:dyDescent="0.3">
      <c r="A72">
        <v>2092</v>
      </c>
      <c r="B72">
        <f t="shared" si="4"/>
        <v>10706</v>
      </c>
      <c r="C72">
        <f t="shared" si="4"/>
        <v>1841</v>
      </c>
      <c r="D72">
        <f t="shared" si="4"/>
        <v>3611</v>
      </c>
    </row>
    <row r="73" spans="1:4" x14ac:dyDescent="0.3">
      <c r="A73">
        <v>2093</v>
      </c>
      <c r="B73">
        <f t="shared" si="4"/>
        <v>10921</v>
      </c>
      <c r="C73">
        <f t="shared" si="4"/>
        <v>1878</v>
      </c>
      <c r="D73">
        <f t="shared" si="4"/>
        <v>3684</v>
      </c>
    </row>
    <row r="74" spans="1:4" x14ac:dyDescent="0.3">
      <c r="A74">
        <v>2094</v>
      </c>
      <c r="B74">
        <f t="shared" ref="B74:D89" si="5">ROUNDUP(B73*1.02,0)</f>
        <v>11140</v>
      </c>
      <c r="C74">
        <f t="shared" si="5"/>
        <v>1916</v>
      </c>
      <c r="D74">
        <f t="shared" si="5"/>
        <v>3758</v>
      </c>
    </row>
    <row r="75" spans="1:4" x14ac:dyDescent="0.3">
      <c r="A75">
        <v>2095</v>
      </c>
      <c r="B75">
        <f t="shared" si="5"/>
        <v>11363</v>
      </c>
      <c r="C75">
        <f t="shared" si="5"/>
        <v>1955</v>
      </c>
      <c r="D75">
        <f t="shared" si="5"/>
        <v>3834</v>
      </c>
    </row>
    <row r="76" spans="1:4" x14ac:dyDescent="0.3">
      <c r="A76">
        <v>2096</v>
      </c>
      <c r="B76">
        <f t="shared" si="5"/>
        <v>11591</v>
      </c>
      <c r="C76">
        <f t="shared" si="5"/>
        <v>1995</v>
      </c>
      <c r="D76">
        <f t="shared" si="5"/>
        <v>3911</v>
      </c>
    </row>
    <row r="77" spans="1:4" x14ac:dyDescent="0.3">
      <c r="A77">
        <v>2097</v>
      </c>
      <c r="B77">
        <f t="shared" si="5"/>
        <v>11823</v>
      </c>
      <c r="C77">
        <f t="shared" si="5"/>
        <v>2035</v>
      </c>
      <c r="D77">
        <f t="shared" si="5"/>
        <v>3990</v>
      </c>
    </row>
    <row r="78" spans="1:4" x14ac:dyDescent="0.3">
      <c r="A78">
        <v>2098</v>
      </c>
      <c r="B78">
        <f t="shared" si="5"/>
        <v>12060</v>
      </c>
      <c r="C78">
        <f t="shared" si="5"/>
        <v>2076</v>
      </c>
      <c r="D78">
        <f t="shared" si="5"/>
        <v>4070</v>
      </c>
    </row>
    <row r="79" spans="1:4" x14ac:dyDescent="0.3">
      <c r="A79">
        <v>2099</v>
      </c>
      <c r="B79">
        <f t="shared" si="5"/>
        <v>12302</v>
      </c>
      <c r="C79">
        <f t="shared" si="5"/>
        <v>2118</v>
      </c>
      <c r="D79">
        <f t="shared" si="5"/>
        <v>4152</v>
      </c>
    </row>
    <row r="80" spans="1:4" x14ac:dyDescent="0.3">
      <c r="A80">
        <v>2100</v>
      </c>
      <c r="B80">
        <f t="shared" si="5"/>
        <v>12549</v>
      </c>
      <c r="C80">
        <f t="shared" si="5"/>
        <v>2161</v>
      </c>
      <c r="D80">
        <f t="shared" si="5"/>
        <v>4236</v>
      </c>
    </row>
    <row r="81" spans="1:4" x14ac:dyDescent="0.3">
      <c r="A81">
        <v>2101</v>
      </c>
      <c r="B81">
        <f t="shared" si="5"/>
        <v>12800</v>
      </c>
      <c r="C81">
        <f t="shared" si="5"/>
        <v>2205</v>
      </c>
      <c r="D81">
        <f t="shared" si="5"/>
        <v>4321</v>
      </c>
    </row>
    <row r="82" spans="1:4" x14ac:dyDescent="0.3">
      <c r="A82">
        <v>2102</v>
      </c>
      <c r="B82">
        <f t="shared" si="5"/>
        <v>13056</v>
      </c>
      <c r="C82">
        <f t="shared" si="5"/>
        <v>2250</v>
      </c>
      <c r="D82">
        <f t="shared" si="5"/>
        <v>4408</v>
      </c>
    </row>
    <row r="83" spans="1:4" x14ac:dyDescent="0.3">
      <c r="A83">
        <v>2103</v>
      </c>
      <c r="B83">
        <f t="shared" si="5"/>
        <v>13318</v>
      </c>
      <c r="C83">
        <f t="shared" si="5"/>
        <v>2295</v>
      </c>
      <c r="D83">
        <f t="shared" si="5"/>
        <v>4497</v>
      </c>
    </row>
    <row r="84" spans="1:4" x14ac:dyDescent="0.3">
      <c r="A84">
        <v>2104</v>
      </c>
      <c r="B84">
        <f t="shared" si="5"/>
        <v>13585</v>
      </c>
      <c r="C84">
        <f t="shared" si="5"/>
        <v>2341</v>
      </c>
      <c r="D84">
        <f t="shared" si="5"/>
        <v>4587</v>
      </c>
    </row>
    <row r="85" spans="1:4" x14ac:dyDescent="0.3">
      <c r="A85">
        <v>2105</v>
      </c>
      <c r="B85">
        <f t="shared" si="5"/>
        <v>13857</v>
      </c>
      <c r="C85">
        <f t="shared" si="5"/>
        <v>2388</v>
      </c>
      <c r="D85">
        <f t="shared" si="5"/>
        <v>4679</v>
      </c>
    </row>
    <row r="86" spans="1:4" x14ac:dyDescent="0.3">
      <c r="A86">
        <v>2106</v>
      </c>
      <c r="B86">
        <f t="shared" si="5"/>
        <v>14135</v>
      </c>
      <c r="C86">
        <f t="shared" si="5"/>
        <v>2436</v>
      </c>
      <c r="D86">
        <f t="shared" si="5"/>
        <v>4773</v>
      </c>
    </row>
    <row r="87" spans="1:4" x14ac:dyDescent="0.3">
      <c r="A87">
        <v>2107</v>
      </c>
      <c r="B87">
        <f t="shared" si="5"/>
        <v>14418</v>
      </c>
      <c r="C87">
        <f t="shared" si="5"/>
        <v>2485</v>
      </c>
      <c r="D87">
        <f t="shared" si="5"/>
        <v>4869</v>
      </c>
    </row>
    <row r="88" spans="1:4" x14ac:dyDescent="0.3">
      <c r="A88">
        <v>2108</v>
      </c>
      <c r="B88">
        <f t="shared" si="5"/>
        <v>14707</v>
      </c>
      <c r="C88">
        <f t="shared" si="5"/>
        <v>2535</v>
      </c>
      <c r="D88">
        <f t="shared" si="5"/>
        <v>4967</v>
      </c>
    </row>
    <row r="89" spans="1:4" x14ac:dyDescent="0.3">
      <c r="A89">
        <v>2109</v>
      </c>
      <c r="B89">
        <f t="shared" si="5"/>
        <v>15002</v>
      </c>
      <c r="C89">
        <f t="shared" si="5"/>
        <v>2586</v>
      </c>
      <c r="D89">
        <f t="shared" si="5"/>
        <v>5067</v>
      </c>
    </row>
    <row r="90" spans="1:4" x14ac:dyDescent="0.3">
      <c r="A90">
        <v>2110</v>
      </c>
      <c r="B90">
        <f t="shared" ref="B90:D100" si="6">ROUNDUP(B89*1.02,0)</f>
        <v>15303</v>
      </c>
      <c r="C90">
        <f t="shared" si="6"/>
        <v>2638</v>
      </c>
      <c r="D90">
        <f t="shared" si="6"/>
        <v>5169</v>
      </c>
    </row>
    <row r="91" spans="1:4" x14ac:dyDescent="0.3">
      <c r="A91">
        <v>2111</v>
      </c>
      <c r="B91">
        <f t="shared" si="6"/>
        <v>15610</v>
      </c>
      <c r="C91">
        <f t="shared" si="6"/>
        <v>2691</v>
      </c>
      <c r="D91">
        <f t="shared" si="6"/>
        <v>5273</v>
      </c>
    </row>
    <row r="92" spans="1:4" x14ac:dyDescent="0.3">
      <c r="A92">
        <v>2112</v>
      </c>
      <c r="B92">
        <f t="shared" si="6"/>
        <v>15923</v>
      </c>
      <c r="C92">
        <f t="shared" si="6"/>
        <v>2745</v>
      </c>
      <c r="D92">
        <f t="shared" si="6"/>
        <v>5379</v>
      </c>
    </row>
    <row r="93" spans="1:4" x14ac:dyDescent="0.3">
      <c r="A93">
        <v>2113</v>
      </c>
      <c r="B93">
        <f t="shared" si="6"/>
        <v>16242</v>
      </c>
      <c r="C93">
        <f t="shared" si="6"/>
        <v>2800</v>
      </c>
      <c r="D93">
        <f t="shared" si="6"/>
        <v>5487</v>
      </c>
    </row>
    <row r="94" spans="1:4" x14ac:dyDescent="0.3">
      <c r="A94">
        <v>2114</v>
      </c>
      <c r="B94">
        <f t="shared" si="6"/>
        <v>16567</v>
      </c>
      <c r="C94">
        <f t="shared" si="6"/>
        <v>2856</v>
      </c>
      <c r="D94">
        <f t="shared" si="6"/>
        <v>5597</v>
      </c>
    </row>
    <row r="95" spans="1:4" x14ac:dyDescent="0.3">
      <c r="A95">
        <v>2115</v>
      </c>
      <c r="B95">
        <f t="shared" si="6"/>
        <v>16899</v>
      </c>
      <c r="C95">
        <f t="shared" si="6"/>
        <v>2914</v>
      </c>
      <c r="D95">
        <f t="shared" si="6"/>
        <v>5709</v>
      </c>
    </row>
    <row r="96" spans="1:4" x14ac:dyDescent="0.3">
      <c r="A96">
        <v>2116</v>
      </c>
      <c r="B96">
        <f t="shared" si="6"/>
        <v>17237</v>
      </c>
      <c r="C96">
        <f t="shared" si="6"/>
        <v>2973</v>
      </c>
      <c r="D96">
        <f t="shared" si="6"/>
        <v>5824</v>
      </c>
    </row>
    <row r="97" spans="1:4" x14ac:dyDescent="0.3">
      <c r="A97">
        <v>2117</v>
      </c>
      <c r="B97">
        <f t="shared" si="6"/>
        <v>17582</v>
      </c>
      <c r="C97">
        <f t="shared" si="6"/>
        <v>3033</v>
      </c>
      <c r="D97">
        <f t="shared" si="6"/>
        <v>5941</v>
      </c>
    </row>
    <row r="98" spans="1:4" x14ac:dyDescent="0.3">
      <c r="A98">
        <v>2118</v>
      </c>
      <c r="B98">
        <f t="shared" si="6"/>
        <v>17934</v>
      </c>
      <c r="C98">
        <f t="shared" si="6"/>
        <v>3094</v>
      </c>
      <c r="D98">
        <f t="shared" si="6"/>
        <v>6060</v>
      </c>
    </row>
    <row r="99" spans="1:4" x14ac:dyDescent="0.3">
      <c r="A99">
        <v>2119</v>
      </c>
      <c r="B99">
        <f t="shared" si="6"/>
        <v>18293</v>
      </c>
      <c r="C99">
        <f t="shared" si="6"/>
        <v>3156</v>
      </c>
      <c r="D99">
        <f t="shared" si="6"/>
        <v>6182</v>
      </c>
    </row>
    <row r="100" spans="1:4" x14ac:dyDescent="0.3">
      <c r="A100">
        <v>2120</v>
      </c>
      <c r="B100">
        <f t="shared" si="6"/>
        <v>18659</v>
      </c>
      <c r="C100">
        <f t="shared" si="6"/>
        <v>3220</v>
      </c>
      <c r="D100">
        <f t="shared" si="6"/>
        <v>6306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29493e11-43b2-444c-9949-93e4e79e13ca" origin="userSelected">
  <element uid="id_classification_generalbusiness" value=""/>
  <element uid="d594d16e-bd72-4a7a-b554-fc74cdefcaf9" value=""/>
</sis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02A2FC-0E6B-445A-A1F6-0207BEE8B993}">
  <ds:schemaRefs>
    <ds:schemaRef ds:uri="http://schemas.microsoft.com/sharepoint/v3/contenttype/forms"/>
  </ds:schemaRefs>
</ds:datastoreItem>
</file>

<file path=customXml/itemProps2.xml><?xml version="1.0" encoding="utf-8"?>
<ds:datastoreItem xmlns:ds="http://schemas.openxmlformats.org/officeDocument/2006/customXml" ds:itemID="{A7F35713-C9D7-4460-B783-01C5430DF0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5389CE7-B7AA-4230-AD33-211C55D57A17}">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B2FBB82A-A8CD-4DCC-8F6C-D9D584863183}">
  <ds:schemaRefs>
    <ds:schemaRef ds:uri="http://purl.org/dc/elements/1.1/"/>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Control sheet</vt:lpstr>
      <vt:lpstr>Sheet2</vt:lpstr>
      <vt:lpstr>Allowances</vt:lpstr>
      <vt:lpstr>Allowance_used</vt:lpstr>
      <vt:lpstr>CGT_Y_N</vt:lpstr>
      <vt:lpstr>Input!Print_Area</vt:lpstr>
    </vt:vector>
  </TitlesOfParts>
  <Company>Old Mutual Wealth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Shaun</dc:creator>
  <cp:lastModifiedBy>Jewett, Rachael</cp:lastModifiedBy>
  <cp:lastPrinted>2023-10-06T08:35:15Z</cp:lastPrinted>
  <dcterms:created xsi:type="dcterms:W3CDTF">2016-06-24T15:29:04Z</dcterms:created>
  <dcterms:modified xsi:type="dcterms:W3CDTF">2023-10-06T15:32:19Z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4da61e94-c206-4ae5-a73e-d68890a85e64</vt:lpwstr>
  </property>
  <property fmtid="{D5CDD505-2E9C-101B-9397-08002B2CF9AE}" pid="3" name="bjSaver">
    <vt:lpwstr>4rFabTb/9uU2x7324BdMaCzo80emPV7i</vt:lpwstr>
  </property>
  <property fmtid="{D5CDD505-2E9C-101B-9397-08002B2CF9AE}" pid="4" name="bjDocumentSecurityLabel">
    <vt:lpwstr>INTERNAL</vt:lpwstr>
  </property>
  <property fmtid="{D5CDD505-2E9C-101B-9397-08002B2CF9AE}" pid="5" name="bjCentreFooterLabel">
    <vt:lpwstr>&amp;"Arial,Regular"&amp;10&amp;K000000INTERNAL USE ONLY</vt:lpwstr>
  </property>
  <property fmtid="{D5CDD505-2E9C-101B-9397-08002B2CF9AE}" pid="6" name="bjDocumentLabelXML">
    <vt:lpwstr>&lt;?xml version="1.0" encoding="us-ascii"?&gt;&lt;sisl xmlns:xsi="http://www.w3.org/2001/XMLSchema-instance" xmlns:xsd="http://www.w3.org/2001/XMLSchema" sislVersion="0" policy="29493e11-43b2-444c-9949-93e4e79e13ca" origin="userSelected" xmlns="http://www.boldonj</vt:lpwstr>
  </property>
  <property fmtid="{D5CDD505-2E9C-101B-9397-08002B2CF9AE}" pid="7" name="bjDocumentLabelXML-0">
    <vt:lpwstr>ames.com/2008/01/sie/internal/label"&gt;&lt;element uid="id_classification_generalbusiness" value="" /&gt;&lt;element uid="d594d16e-bd72-4a7a-b554-fc74cdefcaf9" value="" /&gt;&lt;/sisl&gt;</vt:lpwstr>
  </property>
  <property fmtid="{D5CDD505-2E9C-101B-9397-08002B2CF9AE}" pid="8" name="MSIP_Label_6c98d367-e486-496c-b15f-fe4920252c73_Enabled">
    <vt:lpwstr>true</vt:lpwstr>
  </property>
  <property fmtid="{D5CDD505-2E9C-101B-9397-08002B2CF9AE}" pid="9" name="MSIP_Label_6c98d367-e486-496c-b15f-fe4920252c73_SetDate">
    <vt:lpwstr>2022-09-16T12:30:13Z</vt:lpwstr>
  </property>
  <property fmtid="{D5CDD505-2E9C-101B-9397-08002B2CF9AE}" pid="10" name="MSIP_Label_6c98d367-e486-496c-b15f-fe4920252c73_Method">
    <vt:lpwstr>Privileged</vt:lpwstr>
  </property>
  <property fmtid="{D5CDD505-2E9C-101B-9397-08002B2CF9AE}" pid="11" name="MSIP_Label_6c98d367-e486-496c-b15f-fe4920252c73_Name">
    <vt:lpwstr>6c98d367-e486-496c-b15f-fe4920252c73</vt:lpwstr>
  </property>
  <property fmtid="{D5CDD505-2E9C-101B-9397-08002B2CF9AE}" pid="12" name="MSIP_Label_6c98d367-e486-496c-b15f-fe4920252c73_SiteId">
    <vt:lpwstr>0c5bd621-4db2-45d4-92c6-94708f93fa6e</vt:lpwstr>
  </property>
  <property fmtid="{D5CDD505-2E9C-101B-9397-08002B2CF9AE}" pid="13" name="MSIP_Label_6c98d367-e486-496c-b15f-fe4920252c73_ActionId">
    <vt:lpwstr>9d5a3977-f23a-46d1-8ee5-d3c095c7d828</vt:lpwstr>
  </property>
  <property fmtid="{D5CDD505-2E9C-101B-9397-08002B2CF9AE}" pid="14" name="MSIP_Label_6c98d367-e486-496c-b15f-fe4920252c73_ContentBits">
    <vt:lpwstr>0</vt:lpwstr>
  </property>
</Properties>
</file>